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C:\Users\Graziella\Dropbox\PS 2016-17\Torrisi Graziella\3. Fogli di calcolo\"/>
    </mc:Choice>
  </mc:AlternateContent>
  <bookViews>
    <workbookView xWindow="0" yWindow="0" windowWidth="23040" windowHeight="9084" firstSheet="1" activeTab="4"/>
  </bookViews>
  <sheets>
    <sheet name="Carichi unitari" sheetId="1" r:id="rId1"/>
    <sheet name="Travi" sheetId="2" r:id="rId2"/>
    <sheet name="Pilastri" sheetId="4" r:id="rId3"/>
    <sheet name=" Masse e forze" sheetId="5" r:id="rId4"/>
    <sheet name="Car. sol" sheetId="6" r:id="rId5"/>
    <sheet name="Ap. globale" sheetId="7" r:id="rId6"/>
    <sheet name="Ap. tipologi di pila " sheetId="9" r:id="rId7"/>
    <sheet name="Rigidezze" sheetId="11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C14" i="1" l="1"/>
  <c r="C17" i="1"/>
  <c r="E17" i="5" l="1"/>
  <c r="D17" i="5"/>
  <c r="B17" i="5"/>
  <c r="AH118" i="11" l="1"/>
  <c r="P124" i="11"/>
  <c r="AH34" i="11"/>
  <c r="P40" i="11"/>
  <c r="AH13" i="11"/>
  <c r="P19" i="11"/>
  <c r="K30" i="6" l="1"/>
  <c r="K31" i="6" s="1"/>
  <c r="I253" i="9"/>
  <c r="I248" i="9"/>
  <c r="I244" i="9"/>
  <c r="I241" i="9"/>
  <c r="I237" i="9"/>
  <c r="I234" i="9"/>
  <c r="I230" i="9"/>
  <c r="I227" i="9"/>
  <c r="I223" i="9"/>
  <c r="I220" i="9"/>
  <c r="E220" i="9"/>
  <c r="E223" i="9"/>
  <c r="E227" i="9"/>
  <c r="E230" i="9"/>
  <c r="E234" i="9"/>
  <c r="E237" i="9"/>
  <c r="E241" i="9"/>
  <c r="E244" i="9"/>
  <c r="E253" i="9" l="1"/>
  <c r="E248" i="9"/>
  <c r="I5" i="2" l="1"/>
  <c r="I6" i="2"/>
  <c r="O6" i="2"/>
  <c r="O5" i="2"/>
  <c r="S119" i="11" l="1"/>
  <c r="S117" i="11" s="1"/>
  <c r="S115" i="11" s="1"/>
  <c r="S113" i="11" s="1"/>
  <c r="S111" i="11" s="1"/>
  <c r="A119" i="11"/>
  <c r="A117" i="11" s="1"/>
  <c r="A115" i="11" s="1"/>
  <c r="A113" i="11" s="1"/>
  <c r="A111" i="11" s="1"/>
  <c r="W108" i="11"/>
  <c r="Y108" i="11" s="1"/>
  <c r="AA108" i="11" s="1"/>
  <c r="AC108" i="11" s="1"/>
  <c r="AE108" i="11" s="1"/>
  <c r="E108" i="11"/>
  <c r="G108" i="11" s="1"/>
  <c r="I108" i="11" s="1"/>
  <c r="K108" i="11" s="1"/>
  <c r="M108" i="11" s="1"/>
  <c r="P103" i="11"/>
  <c r="S98" i="11"/>
  <c r="S96" i="11" s="1"/>
  <c r="S94" i="11" s="1"/>
  <c r="S92" i="11" s="1"/>
  <c r="S90" i="11" s="1"/>
  <c r="A98" i="11"/>
  <c r="A96" i="11" s="1"/>
  <c r="A94" i="11" s="1"/>
  <c r="A92" i="11" s="1"/>
  <c r="A90" i="11" s="1"/>
  <c r="AH97" i="11"/>
  <c r="W87" i="11"/>
  <c r="Y87" i="11" s="1"/>
  <c r="AA87" i="11" s="1"/>
  <c r="AC87" i="11" s="1"/>
  <c r="AE87" i="11" s="1"/>
  <c r="E87" i="11"/>
  <c r="G87" i="11" s="1"/>
  <c r="I87" i="11" s="1"/>
  <c r="K87" i="11" s="1"/>
  <c r="M87" i="11" s="1"/>
  <c r="P82" i="11"/>
  <c r="S77" i="11"/>
  <c r="S75" i="11" s="1"/>
  <c r="S73" i="11" s="1"/>
  <c r="S71" i="11" s="1"/>
  <c r="S69" i="11" s="1"/>
  <c r="A77" i="11"/>
  <c r="A75" i="11" s="1"/>
  <c r="A73" i="11" s="1"/>
  <c r="A71" i="11" s="1"/>
  <c r="A69" i="11" s="1"/>
  <c r="AH76" i="11"/>
  <c r="W66" i="11"/>
  <c r="Y66" i="11" s="1"/>
  <c r="AA66" i="11" s="1"/>
  <c r="AC66" i="11" s="1"/>
  <c r="AE66" i="11" s="1"/>
  <c r="E66" i="11"/>
  <c r="G66" i="11" s="1"/>
  <c r="I66" i="11" s="1"/>
  <c r="K66" i="11" s="1"/>
  <c r="M66" i="11" s="1"/>
  <c r="P61" i="11"/>
  <c r="S56" i="11"/>
  <c r="S54" i="11" s="1"/>
  <c r="S52" i="11" s="1"/>
  <c r="S50" i="11" s="1"/>
  <c r="S48" i="11" s="1"/>
  <c r="A56" i="11"/>
  <c r="A54" i="11" s="1"/>
  <c r="A52" i="11" s="1"/>
  <c r="A50" i="11" s="1"/>
  <c r="A48" i="11" s="1"/>
  <c r="AH55" i="11"/>
  <c r="W45" i="11"/>
  <c r="Y45" i="11" s="1"/>
  <c r="AA45" i="11" s="1"/>
  <c r="AC45" i="11" s="1"/>
  <c r="AE45" i="11" s="1"/>
  <c r="E45" i="11"/>
  <c r="G45" i="11" s="1"/>
  <c r="I45" i="11" s="1"/>
  <c r="K45" i="11" s="1"/>
  <c r="M45" i="11" s="1"/>
  <c r="S35" i="11"/>
  <c r="S33" i="11" s="1"/>
  <c r="S31" i="11" s="1"/>
  <c r="S29" i="11" s="1"/>
  <c r="S27" i="11" s="1"/>
  <c r="A35" i="11"/>
  <c r="A33" i="11" s="1"/>
  <c r="A31" i="11" s="1"/>
  <c r="A29" i="11" s="1"/>
  <c r="A27" i="11" s="1"/>
  <c r="W24" i="11"/>
  <c r="Y24" i="11" s="1"/>
  <c r="AA24" i="11" s="1"/>
  <c r="AC24" i="11" s="1"/>
  <c r="AE24" i="11" s="1"/>
  <c r="E24" i="11"/>
  <c r="G24" i="11" s="1"/>
  <c r="I24" i="11" s="1"/>
  <c r="K24" i="11" s="1"/>
  <c r="M24" i="11" s="1"/>
  <c r="S14" i="11"/>
  <c r="S12" i="11" s="1"/>
  <c r="S10" i="11" s="1"/>
  <c r="S8" i="11" s="1"/>
  <c r="S6" i="11" s="1"/>
  <c r="W3" i="11"/>
  <c r="Y3" i="11" s="1"/>
  <c r="AA3" i="11" s="1"/>
  <c r="AC3" i="11" s="1"/>
  <c r="AE3" i="11" s="1"/>
  <c r="A14" i="11" l="1"/>
  <c r="A12" i="11" s="1"/>
  <c r="A10" i="11" s="1"/>
  <c r="A8" i="11" s="1"/>
  <c r="A6" i="11" l="1"/>
  <c r="E3" i="11"/>
  <c r="G3" i="11" s="1"/>
  <c r="I3" i="11" s="1"/>
  <c r="K3" i="11" s="1"/>
  <c r="M3" i="11" s="1"/>
  <c r="G274" i="9"/>
  <c r="R274" i="9" s="1"/>
  <c r="G275" i="9"/>
  <c r="R275" i="9" s="1"/>
  <c r="G276" i="9"/>
  <c r="R276" i="9" s="1"/>
  <c r="G277" i="9"/>
  <c r="R277" i="9" s="1"/>
  <c r="K222" i="9" l="1"/>
  <c r="I211" i="9"/>
  <c r="I206" i="9"/>
  <c r="I168" i="9"/>
  <c r="I163" i="9"/>
  <c r="I125" i="9"/>
  <c r="I120" i="9"/>
  <c r="I202" i="9"/>
  <c r="I199" i="9"/>
  <c r="I195" i="9"/>
  <c r="I192" i="9"/>
  <c r="I188" i="9"/>
  <c r="I185" i="9"/>
  <c r="I181" i="9"/>
  <c r="I178" i="9"/>
  <c r="I159" i="9"/>
  <c r="I156" i="9"/>
  <c r="I152" i="9"/>
  <c r="I149" i="9"/>
  <c r="I145" i="9"/>
  <c r="I142" i="9"/>
  <c r="I138" i="9"/>
  <c r="I135" i="9"/>
  <c r="I116" i="9"/>
  <c r="I113" i="9"/>
  <c r="I109" i="9"/>
  <c r="I106" i="9"/>
  <c r="I102" i="9"/>
  <c r="I99" i="9"/>
  <c r="I95" i="9"/>
  <c r="I92" i="9"/>
  <c r="I82" i="9"/>
  <c r="I77" i="9"/>
  <c r="I73" i="9"/>
  <c r="I70" i="9"/>
  <c r="I66" i="9"/>
  <c r="I63" i="9"/>
  <c r="I59" i="9"/>
  <c r="I56" i="9"/>
  <c r="I52" i="9"/>
  <c r="I49" i="9"/>
  <c r="I39" i="9" l="1"/>
  <c r="I34" i="9"/>
  <c r="I30" i="9"/>
  <c r="I27" i="9"/>
  <c r="I23" i="9"/>
  <c r="I20" i="9"/>
  <c r="I16" i="9"/>
  <c r="I13" i="9"/>
  <c r="I9" i="9"/>
  <c r="I6" i="9"/>
  <c r="H60" i="7" l="1"/>
  <c r="H61" i="7"/>
  <c r="H62" i="7"/>
  <c r="H63" i="7"/>
  <c r="H71" i="7" l="1"/>
  <c r="H74" i="7"/>
  <c r="H73" i="7"/>
  <c r="H72" i="7"/>
  <c r="K4" i="5"/>
  <c r="H4" i="5"/>
  <c r="D256" i="9" l="1"/>
  <c r="J256" i="9" s="1"/>
  <c r="D257" i="9"/>
  <c r="J257" i="9" s="1"/>
  <c r="D251" i="9"/>
  <c r="J251" i="9" s="1"/>
  <c r="D252" i="9"/>
  <c r="J252" i="9" s="1"/>
  <c r="D246" i="9"/>
  <c r="J246" i="9" s="1"/>
  <c r="K246" i="9" s="1"/>
  <c r="D243" i="9"/>
  <c r="J243" i="9" s="1"/>
  <c r="K243" i="9" s="1"/>
  <c r="D239" i="9"/>
  <c r="J239" i="9" s="1"/>
  <c r="K239" i="9" s="1"/>
  <c r="D236" i="9"/>
  <c r="J236" i="9" s="1"/>
  <c r="K236" i="9" s="1"/>
  <c r="D232" i="9"/>
  <c r="J232" i="9" s="1"/>
  <c r="K232" i="9" s="1"/>
  <c r="D229" i="9"/>
  <c r="J229" i="9" s="1"/>
  <c r="K229" i="9" s="1"/>
  <c r="D225" i="9"/>
  <c r="D222" i="9"/>
  <c r="G222" i="9"/>
  <c r="F229" i="9"/>
  <c r="G229" i="9" s="1"/>
  <c r="F232" i="9"/>
  <c r="G232" i="9" s="1"/>
  <c r="K256" i="9" l="1"/>
  <c r="F222" i="9"/>
  <c r="J222" i="9"/>
  <c r="K251" i="9"/>
  <c r="F225" i="9"/>
  <c r="G225" i="9" s="1"/>
  <c r="J225" i="9"/>
  <c r="K225" i="9" s="1"/>
  <c r="C256" i="9"/>
  <c r="B256" i="9"/>
  <c r="F256" i="9" s="1"/>
  <c r="C254" i="9"/>
  <c r="B254" i="9"/>
  <c r="D254" i="9" s="1"/>
  <c r="C251" i="9"/>
  <c r="B251" i="9"/>
  <c r="F251" i="9" s="1"/>
  <c r="C249" i="9"/>
  <c r="B249" i="9"/>
  <c r="C246" i="9"/>
  <c r="B246" i="9"/>
  <c r="F246" i="9" s="1"/>
  <c r="G246" i="9" s="1"/>
  <c r="C245" i="9"/>
  <c r="B245" i="9"/>
  <c r="C243" i="9"/>
  <c r="B243" i="9"/>
  <c r="F243" i="9" s="1"/>
  <c r="G243" i="9" s="1"/>
  <c r="C242" i="9"/>
  <c r="B242" i="9"/>
  <c r="C232" i="9"/>
  <c r="B232" i="9"/>
  <c r="C231" i="9"/>
  <c r="B231" i="9"/>
  <c r="C229" i="9"/>
  <c r="B229" i="9"/>
  <c r="C228" i="9"/>
  <c r="B228" i="9"/>
  <c r="C214" i="9"/>
  <c r="B214" i="9"/>
  <c r="D214" i="9" s="1"/>
  <c r="C212" i="9"/>
  <c r="B212" i="9"/>
  <c r="E211" i="9"/>
  <c r="C209" i="9"/>
  <c r="B209" i="9"/>
  <c r="C207" i="9"/>
  <c r="B207" i="9"/>
  <c r="E206" i="9"/>
  <c r="C204" i="9"/>
  <c r="B204" i="9"/>
  <c r="C203" i="9"/>
  <c r="B203" i="9"/>
  <c r="E202" i="9"/>
  <c r="C201" i="9"/>
  <c r="B201" i="9"/>
  <c r="C200" i="9"/>
  <c r="B200" i="9"/>
  <c r="E199" i="9"/>
  <c r="E195" i="9"/>
  <c r="E192" i="9"/>
  <c r="C190" i="9"/>
  <c r="B190" i="9"/>
  <c r="D190" i="9" s="1"/>
  <c r="C189" i="9"/>
  <c r="B189" i="9"/>
  <c r="E188" i="9"/>
  <c r="C187" i="9"/>
  <c r="B187" i="9"/>
  <c r="C186" i="9"/>
  <c r="B186" i="9"/>
  <c r="E185" i="9"/>
  <c r="E181" i="9"/>
  <c r="E178" i="9"/>
  <c r="C171" i="9"/>
  <c r="B171" i="9"/>
  <c r="D171" i="9" s="1"/>
  <c r="C169" i="9"/>
  <c r="B169" i="9"/>
  <c r="E168" i="9"/>
  <c r="C166" i="9"/>
  <c r="B166" i="9"/>
  <c r="C164" i="9"/>
  <c r="B164" i="9"/>
  <c r="E163" i="9"/>
  <c r="C161" i="9"/>
  <c r="B161" i="9"/>
  <c r="D161" i="9" s="1"/>
  <c r="C160" i="9"/>
  <c r="B160" i="9"/>
  <c r="E159" i="9"/>
  <c r="C158" i="9"/>
  <c r="B158" i="9"/>
  <c r="C157" i="9"/>
  <c r="D157" i="9" s="1"/>
  <c r="B157" i="9"/>
  <c r="E156" i="9"/>
  <c r="E152" i="9"/>
  <c r="E149" i="9"/>
  <c r="C147" i="9"/>
  <c r="B147" i="9"/>
  <c r="D147" i="9" s="1"/>
  <c r="C146" i="9"/>
  <c r="B146" i="9"/>
  <c r="E145" i="9"/>
  <c r="C144" i="9"/>
  <c r="B144" i="9"/>
  <c r="C143" i="9"/>
  <c r="D143" i="9" s="1"/>
  <c r="B143" i="9"/>
  <c r="E142" i="9"/>
  <c r="E138" i="9"/>
  <c r="E135" i="9"/>
  <c r="C128" i="9"/>
  <c r="B128" i="9"/>
  <c r="C126" i="9"/>
  <c r="B126" i="9"/>
  <c r="E125" i="9"/>
  <c r="C123" i="9"/>
  <c r="B123" i="9"/>
  <c r="C121" i="9"/>
  <c r="B121" i="9"/>
  <c r="E120" i="9"/>
  <c r="C118" i="9"/>
  <c r="B118" i="9"/>
  <c r="D118" i="9" s="1"/>
  <c r="C117" i="9"/>
  <c r="B117" i="9"/>
  <c r="E116" i="9"/>
  <c r="C115" i="9"/>
  <c r="B115" i="9"/>
  <c r="C114" i="9"/>
  <c r="B114" i="9"/>
  <c r="E113" i="9"/>
  <c r="E109" i="9"/>
  <c r="E106" i="9"/>
  <c r="C104" i="9"/>
  <c r="B104" i="9"/>
  <c r="D104" i="9" s="1"/>
  <c r="C103" i="9"/>
  <c r="B103" i="9"/>
  <c r="E102" i="9"/>
  <c r="C101" i="9"/>
  <c r="B101" i="9"/>
  <c r="C100" i="9"/>
  <c r="B100" i="9"/>
  <c r="E99" i="9"/>
  <c r="E95" i="9"/>
  <c r="E92" i="9"/>
  <c r="D103" i="9" l="1"/>
  <c r="D128" i="9"/>
  <c r="F128" i="9" s="1"/>
  <c r="D100" i="9"/>
  <c r="D164" i="9"/>
  <c r="F164" i="9" s="1"/>
  <c r="D186" i="9"/>
  <c r="F186" i="9" s="1"/>
  <c r="G186" i="9" s="1"/>
  <c r="D114" i="9"/>
  <c r="F114" i="9" s="1"/>
  <c r="G114" i="9" s="1"/>
  <c r="D231" i="9"/>
  <c r="F231" i="9" s="1"/>
  <c r="G231" i="9" s="1"/>
  <c r="D245" i="9"/>
  <c r="F245" i="9" s="1"/>
  <c r="G245" i="9" s="1"/>
  <c r="D101" i="9"/>
  <c r="F101" i="9" s="1"/>
  <c r="G101" i="9" s="1"/>
  <c r="D228" i="9"/>
  <c r="J228" i="9" s="1"/>
  <c r="K228" i="9" s="1"/>
  <c r="D204" i="9"/>
  <c r="J204" i="9" s="1"/>
  <c r="K204" i="9" s="1"/>
  <c r="D207" i="9"/>
  <c r="F207" i="9" s="1"/>
  <c r="D123" i="9"/>
  <c r="F123" i="9" s="1"/>
  <c r="D126" i="9"/>
  <c r="F126" i="9" s="1"/>
  <c r="D249" i="9"/>
  <c r="F249" i="9" s="1"/>
  <c r="D200" i="9"/>
  <c r="F200" i="9" s="1"/>
  <c r="G200" i="9" s="1"/>
  <c r="D115" i="9"/>
  <c r="F115" i="9" s="1"/>
  <c r="G115" i="9" s="1"/>
  <c r="D117" i="9"/>
  <c r="F117" i="9" s="1"/>
  <c r="G117" i="9" s="1"/>
  <c r="D121" i="9"/>
  <c r="F121" i="9" s="1"/>
  <c r="D242" i="9"/>
  <c r="F242" i="9" s="1"/>
  <c r="G242" i="9" s="1"/>
  <c r="F100" i="9"/>
  <c r="G100" i="9" s="1"/>
  <c r="J100" i="9"/>
  <c r="K100" i="9" s="1"/>
  <c r="F103" i="9"/>
  <c r="G103" i="9" s="1"/>
  <c r="J103" i="9"/>
  <c r="K103" i="9" s="1"/>
  <c r="F254" i="9"/>
  <c r="J254" i="9"/>
  <c r="F157" i="9"/>
  <c r="G157" i="9" s="1"/>
  <c r="J157" i="9"/>
  <c r="K157" i="9" s="1"/>
  <c r="D144" i="9"/>
  <c r="D146" i="9"/>
  <c r="D158" i="9"/>
  <c r="D160" i="9"/>
  <c r="D209" i="9"/>
  <c r="D212" i="9"/>
  <c r="J128" i="9"/>
  <c r="F147" i="9"/>
  <c r="G147" i="9" s="1"/>
  <c r="J147" i="9"/>
  <c r="K147" i="9" s="1"/>
  <c r="J186" i="9"/>
  <c r="K186" i="9" s="1"/>
  <c r="F214" i="9"/>
  <c r="J214" i="9"/>
  <c r="F118" i="9"/>
  <c r="G118" i="9" s="1"/>
  <c r="J118" i="9"/>
  <c r="K118" i="9" s="1"/>
  <c r="F161" i="9"/>
  <c r="G161" i="9" s="1"/>
  <c r="J161" i="9"/>
  <c r="K161" i="9" s="1"/>
  <c r="D166" i="9"/>
  <c r="D169" i="9"/>
  <c r="D187" i="9"/>
  <c r="D189" i="9"/>
  <c r="D201" i="9"/>
  <c r="D203" i="9"/>
  <c r="F104" i="9"/>
  <c r="G104" i="9" s="1"/>
  <c r="J104" i="9"/>
  <c r="K104" i="9" s="1"/>
  <c r="F143" i="9"/>
  <c r="G143" i="9" s="1"/>
  <c r="J143" i="9"/>
  <c r="K143" i="9" s="1"/>
  <c r="F171" i="9"/>
  <c r="J171" i="9"/>
  <c r="F190" i="9"/>
  <c r="G190" i="9" s="1"/>
  <c r="J190" i="9"/>
  <c r="K190" i="9" s="1"/>
  <c r="F204" i="9"/>
  <c r="G204" i="9" s="1"/>
  <c r="C61" i="9"/>
  <c r="B61" i="9"/>
  <c r="C60" i="9"/>
  <c r="B60" i="9"/>
  <c r="J245" i="9" l="1"/>
  <c r="K245" i="9" s="1"/>
  <c r="J207" i="9"/>
  <c r="J164" i="9"/>
  <c r="J249" i="9"/>
  <c r="J231" i="9"/>
  <c r="K231" i="9" s="1"/>
  <c r="J200" i="9"/>
  <c r="K200" i="9" s="1"/>
  <c r="J242" i="9"/>
  <c r="K242" i="9" s="1"/>
  <c r="F228" i="9"/>
  <c r="G228" i="9" s="1"/>
  <c r="J114" i="9"/>
  <c r="K114" i="9" s="1"/>
  <c r="J117" i="9"/>
  <c r="K117" i="9" s="1"/>
  <c r="J126" i="9"/>
  <c r="J123" i="9"/>
  <c r="J121" i="9"/>
  <c r="J101" i="9"/>
  <c r="K101" i="9" s="1"/>
  <c r="J115" i="9"/>
  <c r="K115" i="9" s="1"/>
  <c r="F203" i="9"/>
  <c r="G203" i="9" s="1"/>
  <c r="J203" i="9"/>
  <c r="K203" i="9" s="1"/>
  <c r="F169" i="9"/>
  <c r="J169" i="9"/>
  <c r="F212" i="9"/>
  <c r="J212" i="9"/>
  <c r="F146" i="9"/>
  <c r="G146" i="9" s="1"/>
  <c r="J146" i="9"/>
  <c r="K146" i="9" s="1"/>
  <c r="F201" i="9"/>
  <c r="G201" i="9" s="1"/>
  <c r="J201" i="9"/>
  <c r="K201" i="9" s="1"/>
  <c r="F166" i="9"/>
  <c r="J166" i="9"/>
  <c r="F209" i="9"/>
  <c r="J209" i="9"/>
  <c r="F144" i="9"/>
  <c r="G144" i="9" s="1"/>
  <c r="J144" i="9"/>
  <c r="K144" i="9" s="1"/>
  <c r="F189" i="9"/>
  <c r="G189" i="9" s="1"/>
  <c r="J189" i="9"/>
  <c r="K189" i="9" s="1"/>
  <c r="F160" i="9"/>
  <c r="G160" i="9" s="1"/>
  <c r="J160" i="9"/>
  <c r="K160" i="9" s="1"/>
  <c r="F187" i="9"/>
  <c r="G187" i="9" s="1"/>
  <c r="J187" i="9"/>
  <c r="K187" i="9" s="1"/>
  <c r="F158" i="9"/>
  <c r="G158" i="9" s="1"/>
  <c r="J158" i="9"/>
  <c r="K158" i="9" s="1"/>
  <c r="C58" i="9"/>
  <c r="B58" i="9"/>
  <c r="C57" i="9"/>
  <c r="B57" i="9"/>
  <c r="E56" i="9"/>
  <c r="D57" i="9" l="1"/>
  <c r="J57" i="9" s="1"/>
  <c r="K57" i="9" s="1"/>
  <c r="D58" i="9"/>
  <c r="C15" i="9"/>
  <c r="B15" i="9"/>
  <c r="C14" i="9"/>
  <c r="B14" i="9"/>
  <c r="E13" i="9"/>
  <c r="F57" i="9" l="1"/>
  <c r="G57" i="9" s="1"/>
  <c r="D14" i="9"/>
  <c r="F14" i="9" s="1"/>
  <c r="G14" i="9" s="1"/>
  <c r="D15" i="9"/>
  <c r="F15" i="9" s="1"/>
  <c r="G15" i="9" s="1"/>
  <c r="F58" i="9"/>
  <c r="G58" i="9" s="1"/>
  <c r="J58" i="9"/>
  <c r="K58" i="9" s="1"/>
  <c r="J14" i="9"/>
  <c r="K14" i="9" s="1"/>
  <c r="C85" i="9"/>
  <c r="B85" i="9"/>
  <c r="C83" i="9"/>
  <c r="B83" i="9"/>
  <c r="E82" i="9"/>
  <c r="C80" i="9"/>
  <c r="B80" i="9"/>
  <c r="C78" i="9"/>
  <c r="B78" i="9"/>
  <c r="E77" i="9"/>
  <c r="C75" i="9"/>
  <c r="B75" i="9"/>
  <c r="C74" i="9"/>
  <c r="B74" i="9"/>
  <c r="E73" i="9"/>
  <c r="C72" i="9"/>
  <c r="B72" i="9"/>
  <c r="C71" i="9"/>
  <c r="B71" i="9"/>
  <c r="E70" i="9"/>
  <c r="E66" i="9"/>
  <c r="E63" i="9"/>
  <c r="E59" i="9"/>
  <c r="E52" i="9"/>
  <c r="E49" i="9"/>
  <c r="D83" i="9" l="1"/>
  <c r="F83" i="9" s="1"/>
  <c r="J15" i="9"/>
  <c r="K15" i="9" s="1"/>
  <c r="D71" i="9"/>
  <c r="D74" i="9"/>
  <c r="D78" i="9"/>
  <c r="D60" i="9"/>
  <c r="D72" i="9"/>
  <c r="D80" i="9"/>
  <c r="D75" i="9"/>
  <c r="D85" i="9"/>
  <c r="J83" i="9" l="1"/>
  <c r="F72" i="9"/>
  <c r="G72" i="9" s="1"/>
  <c r="J72" i="9"/>
  <c r="K72" i="9" s="1"/>
  <c r="F80" i="9"/>
  <c r="J80" i="9"/>
  <c r="F74" i="9"/>
  <c r="G74" i="9" s="1"/>
  <c r="J74" i="9"/>
  <c r="K74" i="9" s="1"/>
  <c r="F71" i="9"/>
  <c r="G71" i="9" s="1"/>
  <c r="J71" i="9"/>
  <c r="K71" i="9" s="1"/>
  <c r="F85" i="9"/>
  <c r="J85" i="9"/>
  <c r="F60" i="9"/>
  <c r="G60" i="9" s="1"/>
  <c r="J60" i="9"/>
  <c r="K60" i="9" s="1"/>
  <c r="F75" i="9"/>
  <c r="G75" i="9" s="1"/>
  <c r="J75" i="9"/>
  <c r="K75" i="9" s="1"/>
  <c r="F78" i="9"/>
  <c r="J78" i="9"/>
  <c r="C32" i="9"/>
  <c r="B32" i="9"/>
  <c r="C31" i="9"/>
  <c r="B31" i="9"/>
  <c r="C29" i="9"/>
  <c r="B29" i="9"/>
  <c r="C28" i="9"/>
  <c r="B28" i="9"/>
  <c r="C42" i="9"/>
  <c r="B42" i="9"/>
  <c r="C40" i="9"/>
  <c r="B40" i="9"/>
  <c r="C37" i="9"/>
  <c r="B37" i="9"/>
  <c r="C35" i="9"/>
  <c r="B35" i="9"/>
  <c r="C17" i="9"/>
  <c r="B17" i="9"/>
  <c r="E39" i="9"/>
  <c r="E34" i="9"/>
  <c r="E30" i="9"/>
  <c r="E27" i="9"/>
  <c r="E23" i="9"/>
  <c r="E20" i="9"/>
  <c r="E16" i="9"/>
  <c r="E9" i="9"/>
  <c r="E6" i="9"/>
  <c r="C18" i="9"/>
  <c r="B18" i="9"/>
  <c r="D37" i="9" l="1"/>
  <c r="J37" i="9" s="1"/>
  <c r="D42" i="9"/>
  <c r="F42" i="9" s="1"/>
  <c r="D29" i="9"/>
  <c r="F29" i="9" s="1"/>
  <c r="G29" i="9" s="1"/>
  <c r="D32" i="9"/>
  <c r="F32" i="9" s="1"/>
  <c r="G32" i="9" s="1"/>
  <c r="F37" i="9"/>
  <c r="J42" i="9"/>
  <c r="D35" i="9"/>
  <c r="D40" i="9"/>
  <c r="D28" i="9"/>
  <c r="D31" i="9"/>
  <c r="D17" i="9"/>
  <c r="D18" i="9"/>
  <c r="J29" i="9" l="1"/>
  <c r="K29" i="9" s="1"/>
  <c r="J32" i="9"/>
  <c r="K32" i="9" s="1"/>
  <c r="F17" i="9"/>
  <c r="G17" i="9" s="1"/>
  <c r="J17" i="9"/>
  <c r="K17" i="9" s="1"/>
  <c r="F40" i="9"/>
  <c r="J40" i="9"/>
  <c r="F31" i="9"/>
  <c r="G31" i="9" s="1"/>
  <c r="J31" i="9"/>
  <c r="K31" i="9" s="1"/>
  <c r="F28" i="9"/>
  <c r="G28" i="9" s="1"/>
  <c r="J28" i="9"/>
  <c r="K28" i="9" s="1"/>
  <c r="F35" i="9"/>
  <c r="J35" i="9"/>
  <c r="F18" i="9"/>
  <c r="G18" i="9" s="1"/>
  <c r="J18" i="9"/>
  <c r="K18" i="9" s="1"/>
  <c r="K42" i="7"/>
  <c r="G42" i="7"/>
  <c r="C14" i="5"/>
  <c r="W6" i="9" l="1"/>
  <c r="C56" i="9" s="1"/>
  <c r="W7" i="9"/>
  <c r="W8" i="9"/>
  <c r="W9" i="9"/>
  <c r="W10" i="9"/>
  <c r="W5" i="9"/>
  <c r="C13" i="9" s="1"/>
  <c r="V6" i="9"/>
  <c r="B56" i="9" s="1"/>
  <c r="V7" i="9"/>
  <c r="V8" i="9"/>
  <c r="V9" i="9"/>
  <c r="V10" i="9"/>
  <c r="V5" i="9"/>
  <c r="B13" i="9" s="1"/>
  <c r="D13" i="9" s="1"/>
  <c r="U6" i="9"/>
  <c r="U7" i="9"/>
  <c r="U8" i="9"/>
  <c r="U9" i="9"/>
  <c r="U10" i="9"/>
  <c r="U5" i="9"/>
  <c r="T6" i="9"/>
  <c r="T7" i="9"/>
  <c r="T8" i="9"/>
  <c r="T9" i="9"/>
  <c r="T10" i="9"/>
  <c r="T5" i="9"/>
  <c r="P4" i="7"/>
  <c r="P5" i="7"/>
  <c r="P6" i="7"/>
  <c r="P7" i="7"/>
  <c r="P8" i="7"/>
  <c r="P9" i="7"/>
  <c r="F13" i="9" l="1"/>
  <c r="H13" i="9" s="1"/>
  <c r="J13" i="9"/>
  <c r="L13" i="9" s="1"/>
  <c r="D56" i="9"/>
  <c r="B159" i="9"/>
  <c r="B145" i="9"/>
  <c r="C156" i="9"/>
  <c r="C142" i="9"/>
  <c r="B168" i="9"/>
  <c r="B138" i="9"/>
  <c r="C163" i="9"/>
  <c r="C135" i="9"/>
  <c r="B152" i="9"/>
  <c r="C149" i="9"/>
  <c r="B122" i="9"/>
  <c r="B107" i="9"/>
  <c r="B93" i="9"/>
  <c r="B127" i="9"/>
  <c r="B110" i="9"/>
  <c r="B96" i="9"/>
  <c r="C255" i="9"/>
  <c r="C221" i="9"/>
  <c r="C172" i="9"/>
  <c r="C167" i="9"/>
  <c r="C154" i="9"/>
  <c r="C151" i="9"/>
  <c r="C140" i="9"/>
  <c r="C137" i="9"/>
  <c r="C213" i="9"/>
  <c r="C196" i="9"/>
  <c r="C182" i="9"/>
  <c r="C250" i="9"/>
  <c r="C224" i="9"/>
  <c r="C208" i="9"/>
  <c r="C179" i="9"/>
  <c r="C238" i="9"/>
  <c r="C235" i="9"/>
  <c r="C193" i="9"/>
  <c r="B113" i="9"/>
  <c r="B99" i="9"/>
  <c r="C109" i="9"/>
  <c r="B106" i="9"/>
  <c r="B120" i="9"/>
  <c r="C116" i="9"/>
  <c r="B92" i="9"/>
  <c r="C125" i="9"/>
  <c r="C102" i="9"/>
  <c r="C95" i="9"/>
  <c r="C170" i="9"/>
  <c r="C153" i="9"/>
  <c r="C139" i="9"/>
  <c r="C129" i="9"/>
  <c r="C111" i="9"/>
  <c r="C97" i="9"/>
  <c r="C165" i="9"/>
  <c r="C150" i="9"/>
  <c r="C136" i="9"/>
  <c r="C124" i="9"/>
  <c r="C108" i="9"/>
  <c r="C94" i="9"/>
  <c r="C244" i="9"/>
  <c r="C230" i="9"/>
  <c r="C211" i="9"/>
  <c r="C181" i="9"/>
  <c r="B185" i="9"/>
  <c r="B248" i="9"/>
  <c r="B234" i="9"/>
  <c r="C202" i="9"/>
  <c r="B206" i="9"/>
  <c r="B178" i="9"/>
  <c r="B227" i="9"/>
  <c r="C223" i="9"/>
  <c r="C195" i="9"/>
  <c r="C188" i="9"/>
  <c r="C253" i="9"/>
  <c r="B199" i="9"/>
  <c r="B241" i="9"/>
  <c r="C237" i="9"/>
  <c r="B220" i="9"/>
  <c r="B192" i="9"/>
  <c r="B125" i="9"/>
  <c r="B109" i="9"/>
  <c r="B95" i="9"/>
  <c r="C120" i="9"/>
  <c r="B102" i="9"/>
  <c r="C92" i="9"/>
  <c r="C99" i="9"/>
  <c r="C113" i="9"/>
  <c r="B116" i="9"/>
  <c r="C106" i="9"/>
  <c r="B252" i="9"/>
  <c r="F252" i="9" s="1"/>
  <c r="G251" i="9" s="1"/>
  <c r="B236" i="9"/>
  <c r="F236" i="9" s="1"/>
  <c r="G236" i="9" s="1"/>
  <c r="B257" i="9"/>
  <c r="F257" i="9" s="1"/>
  <c r="G256" i="9" s="1"/>
  <c r="B239" i="9"/>
  <c r="F239" i="9" s="1"/>
  <c r="G239" i="9" s="1"/>
  <c r="B225" i="9"/>
  <c r="B215" i="9"/>
  <c r="B210" i="9"/>
  <c r="B197" i="9"/>
  <c r="B194" i="9"/>
  <c r="B183" i="9"/>
  <c r="B180" i="9"/>
  <c r="B250" i="9"/>
  <c r="B238" i="9"/>
  <c r="B224" i="9"/>
  <c r="B255" i="9"/>
  <c r="D255" i="9" s="1"/>
  <c r="B221" i="9"/>
  <c r="D221" i="9" s="1"/>
  <c r="B172" i="9"/>
  <c r="B154" i="9"/>
  <c r="B140" i="9"/>
  <c r="D140" i="9" s="1"/>
  <c r="B235" i="9"/>
  <c r="B137" i="9"/>
  <c r="B213" i="9"/>
  <c r="B196" i="9"/>
  <c r="D196" i="9" s="1"/>
  <c r="B182" i="9"/>
  <c r="D182" i="9" s="1"/>
  <c r="B167" i="9"/>
  <c r="B151" i="9"/>
  <c r="D151" i="9" s="1"/>
  <c r="B208" i="9"/>
  <c r="D208" i="9" s="1"/>
  <c r="B193" i="9"/>
  <c r="D193" i="9" s="1"/>
  <c r="B179" i="9"/>
  <c r="D179" i="9" s="1"/>
  <c r="C127" i="9"/>
  <c r="C122" i="9"/>
  <c r="C110" i="9"/>
  <c r="C107" i="9"/>
  <c r="C96" i="9"/>
  <c r="C93" i="9"/>
  <c r="B170" i="9"/>
  <c r="B165" i="9"/>
  <c r="D165" i="9" s="1"/>
  <c r="B153" i="9"/>
  <c r="D153" i="9" s="1"/>
  <c r="B150" i="9"/>
  <c r="B139" i="9"/>
  <c r="D139" i="9" s="1"/>
  <c r="B136" i="9"/>
  <c r="B129" i="9"/>
  <c r="B124" i="9"/>
  <c r="D124" i="9" s="1"/>
  <c r="B111" i="9"/>
  <c r="B108" i="9"/>
  <c r="D108" i="9" s="1"/>
  <c r="B97" i="9"/>
  <c r="D97" i="9" s="1"/>
  <c r="B94" i="9"/>
  <c r="C257" i="9"/>
  <c r="C239" i="9"/>
  <c r="C225" i="9"/>
  <c r="C215" i="9"/>
  <c r="C210" i="9"/>
  <c r="C197" i="9"/>
  <c r="C194" i="9"/>
  <c r="C183" i="9"/>
  <c r="C180" i="9"/>
  <c r="C236" i="9"/>
  <c r="C252" i="9"/>
  <c r="B163" i="9"/>
  <c r="D163" i="9" s="1"/>
  <c r="B149" i="9"/>
  <c r="D149" i="9" s="1"/>
  <c r="B135" i="9"/>
  <c r="C168" i="9"/>
  <c r="C152" i="9"/>
  <c r="C138" i="9"/>
  <c r="B142" i="9"/>
  <c r="B156" i="9"/>
  <c r="D156" i="9" s="1"/>
  <c r="C159" i="9"/>
  <c r="C145" i="9"/>
  <c r="B211" i="9"/>
  <c r="D211" i="9" s="1"/>
  <c r="B195" i="9"/>
  <c r="B181" i="9"/>
  <c r="C220" i="9"/>
  <c r="D220" i="9" s="1"/>
  <c r="C206" i="9"/>
  <c r="C192" i="9"/>
  <c r="D192" i="9" s="1"/>
  <c r="C248" i="9"/>
  <c r="D248" i="9" s="1"/>
  <c r="C241" i="9"/>
  <c r="C234" i="9"/>
  <c r="D234" i="9" s="1"/>
  <c r="C227" i="9"/>
  <c r="D227" i="9" s="1"/>
  <c r="B202" i="9"/>
  <c r="B188" i="9"/>
  <c r="D188" i="9" s="1"/>
  <c r="C178" i="9"/>
  <c r="D178" i="9" s="1"/>
  <c r="B253" i="9"/>
  <c r="D253" i="9" s="1"/>
  <c r="B244" i="9"/>
  <c r="D244" i="9" s="1"/>
  <c r="B237" i="9"/>
  <c r="D237" i="9" s="1"/>
  <c r="B230" i="9"/>
  <c r="D230" i="9" s="1"/>
  <c r="B223" i="9"/>
  <c r="D223" i="9" s="1"/>
  <c r="C199" i="9"/>
  <c r="C185" i="9"/>
  <c r="B41" i="9"/>
  <c r="B43" i="9"/>
  <c r="B36" i="9"/>
  <c r="B84" i="9"/>
  <c r="B64" i="9"/>
  <c r="B50" i="9"/>
  <c r="B67" i="9"/>
  <c r="B79" i="9"/>
  <c r="B53" i="9"/>
  <c r="B38" i="9"/>
  <c r="C82" i="9"/>
  <c r="C66" i="9"/>
  <c r="B77" i="9"/>
  <c r="B63" i="9"/>
  <c r="C73" i="9"/>
  <c r="C59" i="9"/>
  <c r="B70" i="9"/>
  <c r="B49" i="9"/>
  <c r="C52" i="9"/>
  <c r="B51" i="9"/>
  <c r="B86" i="9"/>
  <c r="B81" i="9"/>
  <c r="B68" i="9"/>
  <c r="B65" i="9"/>
  <c r="B54" i="9"/>
  <c r="C86" i="9"/>
  <c r="C81" i="9"/>
  <c r="C68" i="9"/>
  <c r="C65" i="9"/>
  <c r="C54" i="9"/>
  <c r="C51" i="9"/>
  <c r="C36" i="9"/>
  <c r="C41" i="9"/>
  <c r="C43" i="9"/>
  <c r="C38" i="9"/>
  <c r="C84" i="9"/>
  <c r="C79" i="9"/>
  <c r="C67" i="9"/>
  <c r="C64" i="9"/>
  <c r="C53" i="9"/>
  <c r="C50" i="9"/>
  <c r="B52" i="9"/>
  <c r="B73" i="9"/>
  <c r="C63" i="9"/>
  <c r="B82" i="9"/>
  <c r="B66" i="9"/>
  <c r="C70" i="9"/>
  <c r="C49" i="9"/>
  <c r="C77" i="9"/>
  <c r="B59" i="9"/>
  <c r="B24" i="9"/>
  <c r="B21" i="9"/>
  <c r="C21" i="9"/>
  <c r="C24" i="9"/>
  <c r="B9" i="9"/>
  <c r="C34" i="9"/>
  <c r="B39" i="9"/>
  <c r="B23" i="9"/>
  <c r="B30" i="9"/>
  <c r="C27" i="9"/>
  <c r="C20" i="9"/>
  <c r="B27" i="9"/>
  <c r="B20" i="9"/>
  <c r="C39" i="9"/>
  <c r="C23" i="9"/>
  <c r="B34" i="9"/>
  <c r="C30" i="9"/>
  <c r="C9" i="9"/>
  <c r="B22" i="9"/>
  <c r="B25" i="9"/>
  <c r="C25" i="9"/>
  <c r="C22" i="9"/>
  <c r="B6" i="9"/>
  <c r="C16" i="9"/>
  <c r="B16" i="9"/>
  <c r="C6" i="9"/>
  <c r="B11" i="9"/>
  <c r="B8" i="9"/>
  <c r="C10" i="9"/>
  <c r="C7" i="9"/>
  <c r="B10" i="9"/>
  <c r="B7" i="9"/>
  <c r="C11" i="9"/>
  <c r="C8" i="9"/>
  <c r="C43" i="7"/>
  <c r="C37" i="7"/>
  <c r="C36" i="7"/>
  <c r="K35" i="7"/>
  <c r="G35" i="7"/>
  <c r="C30" i="7"/>
  <c r="C29" i="7"/>
  <c r="K28" i="7"/>
  <c r="G28" i="7"/>
  <c r="C23" i="7"/>
  <c r="C22" i="7"/>
  <c r="C16" i="7"/>
  <c r="K21" i="7"/>
  <c r="G21" i="7"/>
  <c r="E117" i="11" l="1"/>
  <c r="D102" i="9"/>
  <c r="F102" i="9" s="1"/>
  <c r="H102" i="9" s="1"/>
  <c r="E73" i="11" s="1"/>
  <c r="D113" i="9"/>
  <c r="D65" i="9"/>
  <c r="J65" i="9" s="1"/>
  <c r="K65" i="9" s="1"/>
  <c r="D79" i="9"/>
  <c r="F79" i="9" s="1"/>
  <c r="G78" i="9" s="1"/>
  <c r="D34" i="9"/>
  <c r="F34" i="9" s="1"/>
  <c r="D59" i="9"/>
  <c r="D66" i="9"/>
  <c r="J66" i="9" s="1"/>
  <c r="D52" i="9"/>
  <c r="J52" i="9" s="1"/>
  <c r="D195" i="9"/>
  <c r="J195" i="9" s="1"/>
  <c r="D154" i="9"/>
  <c r="D224" i="9"/>
  <c r="F224" i="9" s="1"/>
  <c r="G224" i="9" s="1"/>
  <c r="D206" i="9"/>
  <c r="J206" i="9" s="1"/>
  <c r="D51" i="9"/>
  <c r="F51" i="9" s="1"/>
  <c r="G51" i="9" s="1"/>
  <c r="D185" i="9"/>
  <c r="D241" i="9"/>
  <c r="J241" i="9" s="1"/>
  <c r="L241" i="9" s="1"/>
  <c r="D111" i="9"/>
  <c r="J111" i="9" s="1"/>
  <c r="K111" i="9" s="1"/>
  <c r="D235" i="9"/>
  <c r="J235" i="9" s="1"/>
  <c r="K235" i="9" s="1"/>
  <c r="D109" i="9"/>
  <c r="F244" i="9"/>
  <c r="H244" i="9" s="1"/>
  <c r="J244" i="9"/>
  <c r="L244" i="9" s="1"/>
  <c r="F248" i="9"/>
  <c r="J248" i="9"/>
  <c r="F163" i="9"/>
  <c r="J163" i="9"/>
  <c r="F124" i="9"/>
  <c r="G123" i="9" s="1"/>
  <c r="J124" i="9"/>
  <c r="K123" i="9" s="1"/>
  <c r="F208" i="9"/>
  <c r="G207" i="9" s="1"/>
  <c r="J208" i="9"/>
  <c r="K207" i="9" s="1"/>
  <c r="F196" i="9"/>
  <c r="G196" i="9" s="1"/>
  <c r="J196" i="9"/>
  <c r="K196" i="9" s="1"/>
  <c r="F140" i="9"/>
  <c r="G140" i="9" s="1"/>
  <c r="J140" i="9"/>
  <c r="K140" i="9" s="1"/>
  <c r="F255" i="9"/>
  <c r="G254" i="9" s="1"/>
  <c r="J255" i="9"/>
  <c r="K254" i="9" s="1"/>
  <c r="F59" i="9"/>
  <c r="J59" i="9"/>
  <c r="F223" i="9"/>
  <c r="J223" i="9"/>
  <c r="F253" i="9"/>
  <c r="J253" i="9"/>
  <c r="F227" i="9"/>
  <c r="H227" i="9" s="1"/>
  <c r="E12" i="11" s="1"/>
  <c r="J227" i="9"/>
  <c r="L227" i="9" s="1"/>
  <c r="F192" i="9"/>
  <c r="J192" i="9"/>
  <c r="F156" i="9"/>
  <c r="H156" i="9" s="1"/>
  <c r="J156" i="9"/>
  <c r="L156" i="9" s="1"/>
  <c r="F97" i="9"/>
  <c r="G97" i="9" s="1"/>
  <c r="J97" i="9"/>
  <c r="K97" i="9" s="1"/>
  <c r="F153" i="9"/>
  <c r="G153" i="9" s="1"/>
  <c r="J153" i="9"/>
  <c r="K153" i="9" s="1"/>
  <c r="F151" i="9"/>
  <c r="G151" i="9" s="1"/>
  <c r="J151" i="9"/>
  <c r="K151" i="9" s="1"/>
  <c r="F154" i="9"/>
  <c r="G154" i="9" s="1"/>
  <c r="J154" i="9"/>
  <c r="K154" i="9" s="1"/>
  <c r="D183" i="9"/>
  <c r="F113" i="9"/>
  <c r="H113" i="9" s="1"/>
  <c r="J113" i="9"/>
  <c r="L113" i="9" s="1"/>
  <c r="D99" i="9"/>
  <c r="D107" i="9"/>
  <c r="F56" i="9"/>
  <c r="H56" i="9" s="1"/>
  <c r="E96" i="11" s="1"/>
  <c r="J56" i="9"/>
  <c r="L56" i="9" s="1"/>
  <c r="F230" i="9"/>
  <c r="H230" i="9" s="1"/>
  <c r="E10" i="11" s="1"/>
  <c r="J230" i="9"/>
  <c r="L230" i="9" s="1"/>
  <c r="F178" i="9"/>
  <c r="J178" i="9"/>
  <c r="F234" i="9"/>
  <c r="J234" i="9"/>
  <c r="F211" i="9"/>
  <c r="J211" i="9"/>
  <c r="F108" i="9"/>
  <c r="G108" i="9" s="1"/>
  <c r="J108" i="9"/>
  <c r="K108" i="9" s="1"/>
  <c r="F165" i="9"/>
  <c r="G164" i="9" s="1"/>
  <c r="J165" i="9"/>
  <c r="K164" i="9" s="1"/>
  <c r="F179" i="9"/>
  <c r="G179" i="9" s="1"/>
  <c r="J179" i="9"/>
  <c r="K179" i="9" s="1"/>
  <c r="F185" i="9"/>
  <c r="H185" i="9" s="1"/>
  <c r="E33" i="11" s="1"/>
  <c r="J185" i="9"/>
  <c r="L185" i="9" s="1"/>
  <c r="F237" i="9"/>
  <c r="J237" i="9"/>
  <c r="F188" i="9"/>
  <c r="H188" i="9" s="1"/>
  <c r="E31" i="11" s="1"/>
  <c r="J188" i="9"/>
  <c r="L188" i="9" s="1"/>
  <c r="F220" i="9"/>
  <c r="J220" i="9"/>
  <c r="F149" i="9"/>
  <c r="J149" i="9"/>
  <c r="F139" i="9"/>
  <c r="G139" i="9" s="1"/>
  <c r="J139" i="9"/>
  <c r="K139" i="9" s="1"/>
  <c r="F193" i="9"/>
  <c r="G193" i="9" s="1"/>
  <c r="J193" i="9"/>
  <c r="K193" i="9" s="1"/>
  <c r="F182" i="9"/>
  <c r="G182" i="9" s="1"/>
  <c r="J182" i="9"/>
  <c r="K182" i="9" s="1"/>
  <c r="F221" i="9"/>
  <c r="G221" i="9" s="1"/>
  <c r="J221" i="9"/>
  <c r="K221" i="9" s="1"/>
  <c r="F109" i="9"/>
  <c r="J109" i="9"/>
  <c r="D125" i="9"/>
  <c r="D197" i="9"/>
  <c r="D129" i="9"/>
  <c r="D96" i="9"/>
  <c r="D82" i="9"/>
  <c r="D142" i="9"/>
  <c r="D135" i="9"/>
  <c r="D167" i="9"/>
  <c r="D137" i="9"/>
  <c r="D238" i="9"/>
  <c r="D194" i="9"/>
  <c r="D95" i="9"/>
  <c r="D120" i="9"/>
  <c r="D172" i="9"/>
  <c r="D110" i="9"/>
  <c r="D122" i="9"/>
  <c r="D84" i="9"/>
  <c r="D250" i="9"/>
  <c r="D106" i="9"/>
  <c r="D127" i="9"/>
  <c r="D138" i="9"/>
  <c r="D145" i="9"/>
  <c r="D49" i="9"/>
  <c r="D199" i="9"/>
  <c r="D202" i="9"/>
  <c r="D181" i="9"/>
  <c r="D215" i="9"/>
  <c r="D94" i="9"/>
  <c r="D150" i="9"/>
  <c r="D180" i="9"/>
  <c r="D210" i="9"/>
  <c r="D116" i="9"/>
  <c r="D136" i="9"/>
  <c r="D170" i="9"/>
  <c r="D92" i="9"/>
  <c r="D213" i="9"/>
  <c r="D93" i="9"/>
  <c r="D152" i="9"/>
  <c r="D168" i="9"/>
  <c r="D159" i="9"/>
  <c r="D73" i="9"/>
  <c r="D54" i="9"/>
  <c r="D86" i="9"/>
  <c r="D39" i="9"/>
  <c r="D68" i="9"/>
  <c r="D67" i="9"/>
  <c r="D36" i="9"/>
  <c r="D61" i="9"/>
  <c r="D81" i="9"/>
  <c r="D63" i="9"/>
  <c r="D38" i="9"/>
  <c r="D50" i="9"/>
  <c r="D43" i="9"/>
  <c r="D70" i="9"/>
  <c r="D77" i="9"/>
  <c r="D53" i="9"/>
  <c r="D64" i="9"/>
  <c r="D41" i="9"/>
  <c r="D27" i="9"/>
  <c r="D23" i="9"/>
  <c r="D25" i="9"/>
  <c r="D10" i="9"/>
  <c r="D11" i="9"/>
  <c r="D20" i="9"/>
  <c r="D9" i="9"/>
  <c r="D22" i="9"/>
  <c r="D21" i="9"/>
  <c r="D7" i="9"/>
  <c r="D30" i="9"/>
  <c r="D24" i="9"/>
  <c r="D16" i="9"/>
  <c r="D8" i="9"/>
  <c r="D6" i="9"/>
  <c r="L44" i="7"/>
  <c r="L253" i="9" l="1"/>
  <c r="F65" i="9"/>
  <c r="G65" i="9" s="1"/>
  <c r="F66" i="9"/>
  <c r="J102" i="9"/>
  <c r="L102" i="9" s="1"/>
  <c r="AC10" i="11"/>
  <c r="F241" i="9"/>
  <c r="H241" i="9" s="1"/>
  <c r="J224" i="9"/>
  <c r="K224" i="9" s="1"/>
  <c r="F111" i="9"/>
  <c r="G111" i="9" s="1"/>
  <c r="J79" i="9"/>
  <c r="K78" i="9" s="1"/>
  <c r="F52" i="9"/>
  <c r="F206" i="9"/>
  <c r="C12" i="11"/>
  <c r="C10" i="11"/>
  <c r="F195" i="9"/>
  <c r="L223" i="9"/>
  <c r="F235" i="9"/>
  <c r="G235" i="9" s="1"/>
  <c r="H234" i="9" s="1"/>
  <c r="J51" i="9"/>
  <c r="K51" i="9" s="1"/>
  <c r="J34" i="9"/>
  <c r="H253" i="9"/>
  <c r="H220" i="9"/>
  <c r="F70" i="9"/>
  <c r="H70" i="9" s="1"/>
  <c r="J70" i="9"/>
  <c r="L70" i="9" s="1"/>
  <c r="F30" i="9"/>
  <c r="H30" i="9" s="1"/>
  <c r="J30" i="9"/>
  <c r="L30" i="9" s="1"/>
  <c r="F25" i="9"/>
  <c r="G25" i="9" s="1"/>
  <c r="J25" i="9"/>
  <c r="K25" i="9" s="1"/>
  <c r="F8" i="9"/>
  <c r="G8" i="9" s="1"/>
  <c r="J8" i="9"/>
  <c r="K8" i="9" s="1"/>
  <c r="F7" i="9"/>
  <c r="G7" i="9" s="1"/>
  <c r="J7" i="9"/>
  <c r="K7" i="9" s="1"/>
  <c r="F20" i="9"/>
  <c r="J20" i="9"/>
  <c r="F23" i="9"/>
  <c r="J23" i="9"/>
  <c r="F53" i="9"/>
  <c r="G53" i="9" s="1"/>
  <c r="J53" i="9"/>
  <c r="K53" i="9" s="1"/>
  <c r="F50" i="9"/>
  <c r="G50" i="9" s="1"/>
  <c r="J50" i="9"/>
  <c r="K50" i="9" s="1"/>
  <c r="F61" i="9"/>
  <c r="G61" i="9" s="1"/>
  <c r="H59" i="9" s="1"/>
  <c r="E94" i="11" s="1"/>
  <c r="J61" i="9"/>
  <c r="K61" i="9" s="1"/>
  <c r="F39" i="9"/>
  <c r="J39" i="9"/>
  <c r="F159" i="9"/>
  <c r="H159" i="9" s="1"/>
  <c r="J159" i="9"/>
  <c r="L159" i="9" s="1"/>
  <c r="F213" i="9"/>
  <c r="G212" i="9" s="1"/>
  <c r="J213" i="9"/>
  <c r="K212" i="9" s="1"/>
  <c r="F116" i="9"/>
  <c r="H116" i="9" s="1"/>
  <c r="J116" i="9"/>
  <c r="L116" i="9" s="1"/>
  <c r="F94" i="9"/>
  <c r="G94" i="9" s="1"/>
  <c r="J94" i="9"/>
  <c r="K94" i="9" s="1"/>
  <c r="F199" i="9"/>
  <c r="H199" i="9" s="1"/>
  <c r="J199" i="9"/>
  <c r="L199" i="9" s="1"/>
  <c r="F127" i="9"/>
  <c r="G126" i="9" s="1"/>
  <c r="J127" i="9"/>
  <c r="K126" i="9" s="1"/>
  <c r="F84" i="9"/>
  <c r="G83" i="9" s="1"/>
  <c r="J84" i="9"/>
  <c r="K83" i="9" s="1"/>
  <c r="F120" i="9"/>
  <c r="J120" i="9"/>
  <c r="F137" i="9"/>
  <c r="G137" i="9" s="1"/>
  <c r="J137" i="9"/>
  <c r="K137" i="9" s="1"/>
  <c r="F82" i="9"/>
  <c r="J82" i="9"/>
  <c r="F125" i="9"/>
  <c r="J125" i="9"/>
  <c r="F99" i="9"/>
  <c r="H99" i="9" s="1"/>
  <c r="E75" i="11" s="1"/>
  <c r="J99" i="9"/>
  <c r="L99" i="9" s="1"/>
  <c r="L59" i="9"/>
  <c r="F22" i="9"/>
  <c r="G22" i="9" s="1"/>
  <c r="J22" i="9"/>
  <c r="K22" i="9" s="1"/>
  <c r="F16" i="9"/>
  <c r="H16" i="9" s="1"/>
  <c r="J16" i="9"/>
  <c r="L16" i="9" s="1"/>
  <c r="F21" i="9"/>
  <c r="G21" i="9" s="1"/>
  <c r="J21" i="9"/>
  <c r="K21" i="9" s="1"/>
  <c r="F11" i="9"/>
  <c r="G11" i="9" s="1"/>
  <c r="J11" i="9"/>
  <c r="K11" i="9" s="1"/>
  <c r="F27" i="9"/>
  <c r="H27" i="9" s="1"/>
  <c r="J27" i="9"/>
  <c r="L27" i="9" s="1"/>
  <c r="F77" i="9"/>
  <c r="J77" i="9"/>
  <c r="F38" i="9"/>
  <c r="G37" i="9" s="1"/>
  <c r="J38" i="9"/>
  <c r="K37" i="9" s="1"/>
  <c r="F36" i="9"/>
  <c r="G35" i="9" s="1"/>
  <c r="J36" i="9"/>
  <c r="K35" i="9" s="1"/>
  <c r="F86" i="9"/>
  <c r="G85" i="9" s="1"/>
  <c r="J86" i="9"/>
  <c r="K85" i="9" s="1"/>
  <c r="F168" i="9"/>
  <c r="J168" i="9"/>
  <c r="F92" i="9"/>
  <c r="J92" i="9"/>
  <c r="F210" i="9"/>
  <c r="G209" i="9" s="1"/>
  <c r="H206" i="9" s="1"/>
  <c r="J210" i="9"/>
  <c r="K209" i="9" s="1"/>
  <c r="F215" i="9"/>
  <c r="G214" i="9" s="1"/>
  <c r="J215" i="9"/>
  <c r="K214" i="9" s="1"/>
  <c r="F49" i="9"/>
  <c r="J49" i="9"/>
  <c r="F106" i="9"/>
  <c r="J106" i="9"/>
  <c r="F122" i="9"/>
  <c r="G121" i="9" s="1"/>
  <c r="J122" i="9"/>
  <c r="K121" i="9" s="1"/>
  <c r="F95" i="9"/>
  <c r="J95" i="9"/>
  <c r="F167" i="9"/>
  <c r="G166" i="9" s="1"/>
  <c r="H163" i="9" s="1"/>
  <c r="J167" i="9"/>
  <c r="K166" i="9" s="1"/>
  <c r="L163" i="9" s="1"/>
  <c r="F96" i="9"/>
  <c r="G96" i="9" s="1"/>
  <c r="J96" i="9"/>
  <c r="K96" i="9" s="1"/>
  <c r="L220" i="9"/>
  <c r="L221" i="9" s="1"/>
  <c r="L206" i="9"/>
  <c r="H223" i="9"/>
  <c r="I10" i="11" s="1"/>
  <c r="F24" i="9"/>
  <c r="G24" i="9" s="1"/>
  <c r="J24" i="9"/>
  <c r="K24" i="9" s="1"/>
  <c r="F41" i="9"/>
  <c r="G40" i="9" s="1"/>
  <c r="J41" i="9"/>
  <c r="K40" i="9" s="1"/>
  <c r="F63" i="9"/>
  <c r="J63" i="9"/>
  <c r="F67" i="9"/>
  <c r="G67" i="9" s="1"/>
  <c r="J67" i="9"/>
  <c r="K67" i="9" s="1"/>
  <c r="F54" i="9"/>
  <c r="G54" i="9" s="1"/>
  <c r="J54" i="9"/>
  <c r="K54" i="9" s="1"/>
  <c r="F152" i="9"/>
  <c r="H152" i="9" s="1"/>
  <c r="J152" i="9"/>
  <c r="L152" i="9" s="1"/>
  <c r="F170" i="9"/>
  <c r="G169" i="9" s="1"/>
  <c r="J170" i="9"/>
  <c r="K169" i="9" s="1"/>
  <c r="F180" i="9"/>
  <c r="G180" i="9" s="1"/>
  <c r="H178" i="9" s="1"/>
  <c r="J180" i="9"/>
  <c r="K180" i="9" s="1"/>
  <c r="L178" i="9" s="1"/>
  <c r="L179" i="9" s="1"/>
  <c r="F181" i="9"/>
  <c r="J181" i="9"/>
  <c r="F145" i="9"/>
  <c r="H145" i="9" s="1"/>
  <c r="E52" i="11" s="1"/>
  <c r="J145" i="9"/>
  <c r="L145" i="9" s="1"/>
  <c r="F250" i="9"/>
  <c r="G249" i="9" s="1"/>
  <c r="H248" i="9" s="1"/>
  <c r="J250" i="9"/>
  <c r="K249" i="9" s="1"/>
  <c r="L248" i="9" s="1"/>
  <c r="F110" i="9"/>
  <c r="G110" i="9" s="1"/>
  <c r="H109" i="9" s="1"/>
  <c r="J110" i="9"/>
  <c r="K110" i="9" s="1"/>
  <c r="L109" i="9" s="1"/>
  <c r="F194" i="9"/>
  <c r="G194" i="9" s="1"/>
  <c r="H192" i="9" s="1"/>
  <c r="J194" i="9"/>
  <c r="K194" i="9" s="1"/>
  <c r="L192" i="9" s="1"/>
  <c r="F135" i="9"/>
  <c r="J135" i="9"/>
  <c r="F129" i="9"/>
  <c r="G128" i="9" s="1"/>
  <c r="J129" i="9"/>
  <c r="K128" i="9" s="1"/>
  <c r="F10" i="9"/>
  <c r="G10" i="9" s="1"/>
  <c r="J10" i="9"/>
  <c r="K10" i="9" s="1"/>
  <c r="F6" i="9"/>
  <c r="J6" i="9"/>
  <c r="F9" i="9"/>
  <c r="J9" i="9"/>
  <c r="F64" i="9"/>
  <c r="G64" i="9" s="1"/>
  <c r="H63" i="9" s="1"/>
  <c r="J64" i="9"/>
  <c r="K64" i="9" s="1"/>
  <c r="F43" i="9"/>
  <c r="G42" i="9" s="1"/>
  <c r="J43" i="9"/>
  <c r="K42" i="9" s="1"/>
  <c r="F81" i="9"/>
  <c r="G80" i="9" s="1"/>
  <c r="J81" i="9"/>
  <c r="K80" i="9" s="1"/>
  <c r="F68" i="9"/>
  <c r="G68" i="9" s="1"/>
  <c r="J68" i="9"/>
  <c r="K68" i="9" s="1"/>
  <c r="L66" i="9" s="1"/>
  <c r="F73" i="9"/>
  <c r="H73" i="9" s="1"/>
  <c r="J73" i="9"/>
  <c r="L73" i="9" s="1"/>
  <c r="F93" i="9"/>
  <c r="G93" i="9" s="1"/>
  <c r="J93" i="9"/>
  <c r="K93" i="9" s="1"/>
  <c r="F136" i="9"/>
  <c r="G136" i="9" s="1"/>
  <c r="J136" i="9"/>
  <c r="K136" i="9" s="1"/>
  <c r="F150" i="9"/>
  <c r="G150" i="9" s="1"/>
  <c r="H149" i="9" s="1"/>
  <c r="J150" i="9"/>
  <c r="K150" i="9" s="1"/>
  <c r="L149" i="9" s="1"/>
  <c r="F202" i="9"/>
  <c r="H202" i="9" s="1"/>
  <c r="J202" i="9"/>
  <c r="L202" i="9" s="1"/>
  <c r="F138" i="9"/>
  <c r="H138" i="9" s="1"/>
  <c r="I52" i="11" s="1"/>
  <c r="J138" i="9"/>
  <c r="L138" i="9" s="1"/>
  <c r="F172" i="9"/>
  <c r="G171" i="9" s="1"/>
  <c r="J172" i="9"/>
  <c r="K171" i="9" s="1"/>
  <c r="F238" i="9"/>
  <c r="G238" i="9" s="1"/>
  <c r="H237" i="9" s="1"/>
  <c r="J238" i="9"/>
  <c r="K238" i="9" s="1"/>
  <c r="L237" i="9" s="1"/>
  <c r="F142" i="9"/>
  <c r="H142" i="9" s="1"/>
  <c r="E54" i="11" s="1"/>
  <c r="J142" i="9"/>
  <c r="L142" i="9" s="1"/>
  <c r="F197" i="9"/>
  <c r="G197" i="9" s="1"/>
  <c r="J197" i="9"/>
  <c r="K197" i="9" s="1"/>
  <c r="L195" i="9" s="1"/>
  <c r="L196" i="9" s="1"/>
  <c r="L211" i="9"/>
  <c r="L234" i="9"/>
  <c r="F107" i="9"/>
  <c r="G107" i="9" s="1"/>
  <c r="J107" i="9"/>
  <c r="K107" i="9" s="1"/>
  <c r="F183" i="9"/>
  <c r="G183" i="9" s="1"/>
  <c r="J183" i="9"/>
  <c r="K183" i="9" s="1"/>
  <c r="H44" i="7"/>
  <c r="L193" i="9" l="1"/>
  <c r="L203" i="9"/>
  <c r="L238" i="9"/>
  <c r="L235" i="9"/>
  <c r="W54" i="11"/>
  <c r="L231" i="9"/>
  <c r="AC29" i="11"/>
  <c r="L207" i="9"/>
  <c r="AC50" i="11"/>
  <c r="L200" i="9"/>
  <c r="L186" i="9"/>
  <c r="L245" i="9"/>
  <c r="L228" i="9"/>
  <c r="AC8" i="11"/>
  <c r="L249" i="9"/>
  <c r="E115" i="11"/>
  <c r="W12" i="11"/>
  <c r="L224" i="9"/>
  <c r="L242" i="9"/>
  <c r="AC31" i="11"/>
  <c r="L212" i="9"/>
  <c r="L254" i="9"/>
  <c r="L189" i="9"/>
  <c r="H195" i="9"/>
  <c r="M31" i="11" s="1"/>
  <c r="L34" i="9"/>
  <c r="C33" i="11"/>
  <c r="C31" i="11"/>
  <c r="C94" i="11"/>
  <c r="C96" i="11"/>
  <c r="C92" i="11"/>
  <c r="M90" i="11"/>
  <c r="M96" i="11"/>
  <c r="G98" i="11"/>
  <c r="C98" i="11"/>
  <c r="I90" i="11"/>
  <c r="M33" i="11"/>
  <c r="C29" i="11"/>
  <c r="M27" i="11"/>
  <c r="C35" i="11"/>
  <c r="I27" i="11"/>
  <c r="G35" i="11"/>
  <c r="C54" i="11"/>
  <c r="C52" i="11"/>
  <c r="G10" i="11"/>
  <c r="K8" i="11"/>
  <c r="I8" i="11"/>
  <c r="G12" i="11"/>
  <c r="AE33" i="11"/>
  <c r="W29" i="11"/>
  <c r="AA27" i="11"/>
  <c r="U35" i="11"/>
  <c r="Y29" i="11"/>
  <c r="AC27" i="11"/>
  <c r="AC33" i="11"/>
  <c r="U29" i="11"/>
  <c r="AA33" i="11"/>
  <c r="AE27" i="11"/>
  <c r="Y35" i="11"/>
  <c r="W35" i="11"/>
  <c r="AE12" i="11"/>
  <c r="W8" i="11"/>
  <c r="AA6" i="11"/>
  <c r="U14" i="11"/>
  <c r="Y8" i="11"/>
  <c r="AC6" i="11"/>
  <c r="Y14" i="11"/>
  <c r="U8" i="11"/>
  <c r="AC12" i="11"/>
  <c r="AA12" i="11"/>
  <c r="AE6" i="11"/>
  <c r="W14" i="11"/>
  <c r="W92" i="11"/>
  <c r="AA96" i="11"/>
  <c r="AE90" i="11"/>
  <c r="U92" i="11"/>
  <c r="Y98" i="11"/>
  <c r="Y92" i="11"/>
  <c r="AC96" i="11"/>
  <c r="U98" i="11"/>
  <c r="AC90" i="11"/>
  <c r="AE96" i="11"/>
  <c r="W98" i="11"/>
  <c r="AA90" i="11"/>
  <c r="Y71" i="11"/>
  <c r="W77" i="11"/>
  <c r="AA69" i="11"/>
  <c r="AA75" i="11"/>
  <c r="Y77" i="11"/>
  <c r="AC69" i="11"/>
  <c r="W71" i="11"/>
  <c r="U71" i="11"/>
  <c r="AE75" i="11"/>
  <c r="U77" i="11"/>
  <c r="AC75" i="11"/>
  <c r="AE69" i="11"/>
  <c r="Y33" i="11"/>
  <c r="Y31" i="11"/>
  <c r="AE29" i="11"/>
  <c r="AA31" i="11"/>
  <c r="AE31" i="11"/>
  <c r="W31" i="11"/>
  <c r="AA29" i="11"/>
  <c r="U31" i="11"/>
  <c r="U33" i="11"/>
  <c r="AC54" i="11"/>
  <c r="U50" i="11"/>
  <c r="AE48" i="11"/>
  <c r="AE54" i="11"/>
  <c r="W50" i="11"/>
  <c r="U56" i="11"/>
  <c r="AA54" i="11"/>
  <c r="AC48" i="11"/>
  <c r="Y50" i="11"/>
  <c r="AA48" i="11"/>
  <c r="Y56" i="11"/>
  <c r="W56" i="11"/>
  <c r="H95" i="9"/>
  <c r="I73" i="11" s="1"/>
  <c r="H92" i="9"/>
  <c r="C8" i="11"/>
  <c r="G14" i="11"/>
  <c r="M6" i="11"/>
  <c r="C14" i="11"/>
  <c r="M12" i="11"/>
  <c r="I6" i="11"/>
  <c r="H211" i="9"/>
  <c r="H23" i="9"/>
  <c r="AA10" i="11"/>
  <c r="AE8" i="11"/>
  <c r="Y12" i="11"/>
  <c r="U10" i="11"/>
  <c r="U12" i="11"/>
  <c r="AE10" i="11"/>
  <c r="AA8" i="11"/>
  <c r="W10" i="11"/>
  <c r="Y10" i="11"/>
  <c r="C73" i="11"/>
  <c r="C75" i="11"/>
  <c r="C117" i="11"/>
  <c r="C115" i="11"/>
  <c r="M29" i="11"/>
  <c r="M10" i="11"/>
  <c r="M8" i="11"/>
  <c r="M54" i="11"/>
  <c r="C56" i="11"/>
  <c r="C50" i="11"/>
  <c r="G56" i="11"/>
  <c r="M48" i="11"/>
  <c r="I48" i="11"/>
  <c r="M71" i="11"/>
  <c r="M73" i="11"/>
  <c r="E29" i="11"/>
  <c r="K33" i="11"/>
  <c r="I33" i="11"/>
  <c r="E35" i="11"/>
  <c r="K31" i="11"/>
  <c r="K27" i="11"/>
  <c r="G29" i="11"/>
  <c r="M50" i="11"/>
  <c r="M52" i="11"/>
  <c r="E14" i="11"/>
  <c r="K12" i="11"/>
  <c r="I12" i="11"/>
  <c r="K10" i="11"/>
  <c r="G8" i="11"/>
  <c r="K6" i="11"/>
  <c r="E8" i="11"/>
  <c r="H77" i="9"/>
  <c r="L49" i="9"/>
  <c r="L60" i="9" s="1"/>
  <c r="H120" i="9"/>
  <c r="H49" i="9"/>
  <c r="H50" i="9" s="1"/>
  <c r="H9" i="9"/>
  <c r="H82" i="9"/>
  <c r="H52" i="9"/>
  <c r="H20" i="9"/>
  <c r="H168" i="9"/>
  <c r="H135" i="9"/>
  <c r="H6" i="9"/>
  <c r="H28" i="9" s="1"/>
  <c r="L181" i="9"/>
  <c r="L182" i="9" s="1"/>
  <c r="H66" i="9"/>
  <c r="H39" i="9"/>
  <c r="N220" i="9"/>
  <c r="L9" i="9"/>
  <c r="L52" i="9"/>
  <c r="L135" i="9"/>
  <c r="L139" i="9" s="1"/>
  <c r="L6" i="9"/>
  <c r="L28" i="9" s="1"/>
  <c r="H34" i="9"/>
  <c r="L63" i="9"/>
  <c r="L95" i="9"/>
  <c r="W75" i="11" s="1"/>
  <c r="L106" i="9"/>
  <c r="L92" i="9"/>
  <c r="L117" i="9" s="1"/>
  <c r="L125" i="9"/>
  <c r="L20" i="9"/>
  <c r="H181" i="9"/>
  <c r="H106" i="9"/>
  <c r="P220" i="9"/>
  <c r="L168" i="9"/>
  <c r="L77" i="9"/>
  <c r="L82" i="9"/>
  <c r="L120" i="9"/>
  <c r="L39" i="9"/>
  <c r="L23" i="9"/>
  <c r="L24" i="9" s="1"/>
  <c r="H125" i="9"/>
  <c r="K14" i="7"/>
  <c r="G14" i="7"/>
  <c r="K7" i="7"/>
  <c r="G7" i="7"/>
  <c r="H35" i="9" l="1"/>
  <c r="H21" i="9"/>
  <c r="L21" i="9"/>
  <c r="H40" i="9"/>
  <c r="AC16" i="11"/>
  <c r="AC115" i="11"/>
  <c r="L40" i="9"/>
  <c r="AC71" i="11"/>
  <c r="L121" i="9"/>
  <c r="C268" i="9"/>
  <c r="P221" i="9"/>
  <c r="AC73" i="11"/>
  <c r="L126" i="9"/>
  <c r="L64" i="9"/>
  <c r="W96" i="11"/>
  <c r="L53" i="9"/>
  <c r="I115" i="11"/>
  <c r="H10" i="9"/>
  <c r="L103" i="9"/>
  <c r="H31" i="9"/>
  <c r="L164" i="9"/>
  <c r="L67" i="9"/>
  <c r="AC52" i="11"/>
  <c r="L169" i="9"/>
  <c r="AC94" i="11"/>
  <c r="L83" i="9"/>
  <c r="L93" i="9"/>
  <c r="L114" i="9"/>
  <c r="W117" i="11"/>
  <c r="L10" i="9"/>
  <c r="L100" i="9"/>
  <c r="L150" i="9"/>
  <c r="AC92" i="11"/>
  <c r="L78" i="9"/>
  <c r="L107" i="9"/>
  <c r="L7" i="9"/>
  <c r="L14" i="9"/>
  <c r="H7" i="9"/>
  <c r="H14" i="9"/>
  <c r="I94" i="11"/>
  <c r="H53" i="9"/>
  <c r="H24" i="9"/>
  <c r="H17" i="9"/>
  <c r="L74" i="9"/>
  <c r="L31" i="9"/>
  <c r="L153" i="9"/>
  <c r="L136" i="9"/>
  <c r="L157" i="9"/>
  <c r="L50" i="9"/>
  <c r="L57" i="9"/>
  <c r="AC113" i="11"/>
  <c r="L35" i="9"/>
  <c r="L71" i="9"/>
  <c r="L143" i="9"/>
  <c r="L160" i="9"/>
  <c r="L17" i="9"/>
  <c r="L146" i="9"/>
  <c r="B268" i="9"/>
  <c r="N221" i="9"/>
  <c r="AE37" i="11"/>
  <c r="AC37" i="11"/>
  <c r="O12" i="11"/>
  <c r="W16" i="11"/>
  <c r="O10" i="11"/>
  <c r="N49" i="9"/>
  <c r="K96" i="11"/>
  <c r="E98" i="11"/>
  <c r="O98" i="11" s="1"/>
  <c r="K94" i="11"/>
  <c r="I96" i="11"/>
  <c r="G92" i="11"/>
  <c r="K90" i="11"/>
  <c r="O90" i="11" s="1"/>
  <c r="E92" i="11"/>
  <c r="Y113" i="11"/>
  <c r="AC117" i="11"/>
  <c r="U119" i="11"/>
  <c r="W113" i="11"/>
  <c r="AA117" i="11"/>
  <c r="AE111" i="11"/>
  <c r="AE117" i="11"/>
  <c r="W119" i="11"/>
  <c r="AA111" i="11"/>
  <c r="Y119" i="11"/>
  <c r="AC111" i="11"/>
  <c r="U113" i="11"/>
  <c r="N178" i="9"/>
  <c r="I31" i="11"/>
  <c r="Y117" i="11"/>
  <c r="U117" i="11"/>
  <c r="AA115" i="11"/>
  <c r="U115" i="11"/>
  <c r="AA113" i="11"/>
  <c r="W115" i="11"/>
  <c r="AE113" i="11"/>
  <c r="Y115" i="11"/>
  <c r="AE115" i="11"/>
  <c r="K115" i="11"/>
  <c r="G113" i="11"/>
  <c r="E119" i="11"/>
  <c r="E113" i="11"/>
  <c r="K117" i="11"/>
  <c r="I117" i="11"/>
  <c r="K111" i="11"/>
  <c r="O6" i="11"/>
  <c r="AC58" i="11"/>
  <c r="AC100" i="11"/>
  <c r="Y16" i="11"/>
  <c r="Y37" i="11"/>
  <c r="O27" i="11"/>
  <c r="N92" i="9"/>
  <c r="I71" i="11"/>
  <c r="K71" i="11"/>
  <c r="G75" i="11"/>
  <c r="G73" i="11"/>
  <c r="Y75" i="11"/>
  <c r="W73" i="11"/>
  <c r="W79" i="11" s="1"/>
  <c r="AE71" i="11"/>
  <c r="Y73" i="11"/>
  <c r="AE73" i="11"/>
  <c r="U75" i="11"/>
  <c r="U73" i="11"/>
  <c r="AA71" i="11"/>
  <c r="AA73" i="11"/>
  <c r="P178" i="9"/>
  <c r="W33" i="11"/>
  <c r="W37" i="11" s="1"/>
  <c r="G31" i="11"/>
  <c r="G33" i="11"/>
  <c r="O33" i="11" s="1"/>
  <c r="K29" i="11"/>
  <c r="I29" i="11"/>
  <c r="AA50" i="11"/>
  <c r="U52" i="11"/>
  <c r="Y54" i="11"/>
  <c r="U54" i="11"/>
  <c r="Y52" i="11"/>
  <c r="W52" i="11"/>
  <c r="W58" i="11" s="1"/>
  <c r="AA52" i="11"/>
  <c r="AE52" i="11"/>
  <c r="AE50" i="11"/>
  <c r="I113" i="11"/>
  <c r="G115" i="11"/>
  <c r="K113" i="11"/>
  <c r="G117" i="11"/>
  <c r="N135" i="9"/>
  <c r="I54" i="11"/>
  <c r="K48" i="11"/>
  <c r="O48" i="11" s="1"/>
  <c r="E56" i="11"/>
  <c r="O56" i="11" s="1"/>
  <c r="E50" i="11"/>
  <c r="K54" i="11"/>
  <c r="G50" i="11"/>
  <c r="K52" i="11"/>
  <c r="K92" i="11"/>
  <c r="G94" i="11"/>
  <c r="G96" i="11"/>
  <c r="I92" i="11"/>
  <c r="W94" i="11"/>
  <c r="U94" i="11"/>
  <c r="AA94" i="11"/>
  <c r="AE94" i="11"/>
  <c r="Y94" i="11"/>
  <c r="U96" i="11"/>
  <c r="AE92" i="11"/>
  <c r="Y96" i="11"/>
  <c r="AA92" i="11"/>
  <c r="O8" i="11"/>
  <c r="U16" i="11"/>
  <c r="U37" i="11"/>
  <c r="O35" i="11"/>
  <c r="G77" i="11"/>
  <c r="I69" i="11"/>
  <c r="M75" i="11"/>
  <c r="C71" i="11"/>
  <c r="C77" i="11"/>
  <c r="M69" i="11"/>
  <c r="M117" i="11"/>
  <c r="C113" i="11"/>
  <c r="C119" i="11"/>
  <c r="I111" i="11"/>
  <c r="M111" i="11"/>
  <c r="G119" i="11"/>
  <c r="O278" i="9"/>
  <c r="M94" i="11"/>
  <c r="M92" i="11"/>
  <c r="K50" i="11"/>
  <c r="G54" i="11"/>
  <c r="G52" i="11"/>
  <c r="I50" i="11"/>
  <c r="M113" i="11"/>
  <c r="M115" i="11"/>
  <c r="O14" i="11"/>
  <c r="K73" i="11"/>
  <c r="E71" i="11"/>
  <c r="G71" i="11"/>
  <c r="K69" i="11"/>
  <c r="E77" i="11"/>
  <c r="K75" i="11"/>
  <c r="I75" i="11"/>
  <c r="AE16" i="11"/>
  <c r="AA16" i="11"/>
  <c r="AA37" i="11"/>
  <c r="N6" i="9"/>
  <c r="P135" i="9"/>
  <c r="P6" i="9"/>
  <c r="P49" i="9"/>
  <c r="P92" i="9"/>
  <c r="S5" i="7"/>
  <c r="D14" i="7" s="1"/>
  <c r="S6" i="7"/>
  <c r="D21" i="7" s="1"/>
  <c r="S7" i="7"/>
  <c r="D28" i="7" s="1"/>
  <c r="S8" i="7"/>
  <c r="D35" i="7" s="1"/>
  <c r="S9" i="7"/>
  <c r="D42" i="7" s="1"/>
  <c r="S4" i="7"/>
  <c r="D7" i="7" s="1"/>
  <c r="R5" i="7"/>
  <c r="C14" i="7" s="1"/>
  <c r="R6" i="7"/>
  <c r="C21" i="7" s="1"/>
  <c r="R7" i="7"/>
  <c r="C28" i="7" s="1"/>
  <c r="R8" i="7"/>
  <c r="C35" i="7" s="1"/>
  <c r="R9" i="7"/>
  <c r="C42" i="7" s="1"/>
  <c r="R4" i="7"/>
  <c r="C7" i="7" s="1"/>
  <c r="Q5" i="7"/>
  <c r="D15" i="7" s="1"/>
  <c r="Q6" i="7"/>
  <c r="Q7" i="7"/>
  <c r="Q8" i="7"/>
  <c r="Q9" i="7"/>
  <c r="Q4" i="7"/>
  <c r="D8" i="7" s="1"/>
  <c r="C8" i="7"/>
  <c r="O52" i="11" l="1"/>
  <c r="D278" i="9"/>
  <c r="AL9" i="11"/>
  <c r="C291" i="9"/>
  <c r="AM9" i="11"/>
  <c r="W100" i="11"/>
  <c r="P14" i="11"/>
  <c r="Q14" i="11" s="1"/>
  <c r="W39" i="11"/>
  <c r="W41" i="11" s="1"/>
  <c r="AE39" i="11"/>
  <c r="AE41" i="11" s="1"/>
  <c r="P8" i="11"/>
  <c r="Q8" i="11" s="1"/>
  <c r="W81" i="11"/>
  <c r="W83" i="11" s="1"/>
  <c r="Y39" i="11"/>
  <c r="Y41" i="11" s="1"/>
  <c r="P98" i="11"/>
  <c r="Q98" i="11" s="1"/>
  <c r="W18" i="11"/>
  <c r="W20" i="11" s="1"/>
  <c r="AA39" i="11"/>
  <c r="AA41" i="11" s="1"/>
  <c r="P35" i="11"/>
  <c r="Q35" i="11" s="1"/>
  <c r="W102" i="11"/>
  <c r="W104" i="11" s="1"/>
  <c r="W60" i="11"/>
  <c r="W62" i="11" s="1"/>
  <c r="P33" i="11"/>
  <c r="Q33" i="11" s="1"/>
  <c r="Y18" i="11"/>
  <c r="Y20" i="11" s="1"/>
  <c r="P12" i="11"/>
  <c r="Q12" i="11" s="1"/>
  <c r="AE18" i="11"/>
  <c r="AE20" i="11" s="1"/>
  <c r="P52" i="11"/>
  <c r="Q52" i="11" s="1"/>
  <c r="AC60" i="11"/>
  <c r="AC62" i="11" s="1"/>
  <c r="P10" i="11"/>
  <c r="Q10" i="11" s="1"/>
  <c r="AA18" i="11"/>
  <c r="AA20" i="11" s="1"/>
  <c r="P56" i="11"/>
  <c r="Q56" i="11" s="1"/>
  <c r="AC102" i="11"/>
  <c r="AC104" i="11" s="1"/>
  <c r="AC39" i="11"/>
  <c r="AC41" i="11" s="1"/>
  <c r="AC18" i="11"/>
  <c r="AC20" i="11" s="1"/>
  <c r="AC79" i="11"/>
  <c r="E28" i="7"/>
  <c r="B291" i="9"/>
  <c r="B267" i="9"/>
  <c r="N179" i="9"/>
  <c r="B264" i="9"/>
  <c r="AL5" i="11" s="1"/>
  <c r="N50" i="9"/>
  <c r="C263" i="9"/>
  <c r="P7" i="9"/>
  <c r="O73" i="11"/>
  <c r="Y100" i="11"/>
  <c r="B266" i="9"/>
  <c r="N136" i="9"/>
  <c r="C264" i="9"/>
  <c r="AM5" i="11" s="1"/>
  <c r="P50" i="9"/>
  <c r="C266" i="9"/>
  <c r="P136" i="9"/>
  <c r="B265" i="9"/>
  <c r="AL6" i="11" s="1"/>
  <c r="N93" i="9"/>
  <c r="C265" i="9"/>
  <c r="P93" i="9"/>
  <c r="B263" i="9"/>
  <c r="AL4" i="11" s="1"/>
  <c r="N7" i="9"/>
  <c r="O54" i="11"/>
  <c r="O96" i="11"/>
  <c r="C267" i="9"/>
  <c r="AM8" i="11" s="1"/>
  <c r="P179" i="9"/>
  <c r="AA100" i="11"/>
  <c r="AA79" i="11"/>
  <c r="U58" i="11"/>
  <c r="U79" i="11"/>
  <c r="AE79" i="11"/>
  <c r="O75" i="11"/>
  <c r="O94" i="11"/>
  <c r="U100" i="11"/>
  <c r="Y58" i="11"/>
  <c r="O111" i="11"/>
  <c r="O29" i="11"/>
  <c r="O115" i="11"/>
  <c r="O31" i="11"/>
  <c r="AE121" i="11"/>
  <c r="O50" i="11"/>
  <c r="O113" i="11"/>
  <c r="AE100" i="11"/>
  <c r="O117" i="11"/>
  <c r="AE58" i="11"/>
  <c r="AA58" i="11"/>
  <c r="Y79" i="11"/>
  <c r="O92" i="11"/>
  <c r="P48" i="11"/>
  <c r="U81" i="11"/>
  <c r="O71" i="11"/>
  <c r="U39" i="11"/>
  <c r="AG37" i="11"/>
  <c r="P27" i="11"/>
  <c r="D277" i="9"/>
  <c r="AA121" i="11"/>
  <c r="Y121" i="11"/>
  <c r="U60" i="11"/>
  <c r="O16" i="11"/>
  <c r="P6" i="11"/>
  <c r="P90" i="11"/>
  <c r="U18" i="11"/>
  <c r="AG16" i="11"/>
  <c r="O119" i="11"/>
  <c r="U121" i="11"/>
  <c r="W121" i="11"/>
  <c r="O77" i="11"/>
  <c r="O69" i="11"/>
  <c r="AC121" i="11"/>
  <c r="D274" i="9"/>
  <c r="D29" i="7"/>
  <c r="E29" i="7" s="1"/>
  <c r="D23" i="7"/>
  <c r="E23" i="7" s="1"/>
  <c r="E21" i="7"/>
  <c r="L21" i="7" s="1"/>
  <c r="E42" i="7"/>
  <c r="H42" i="7" s="1"/>
  <c r="E35" i="7"/>
  <c r="D22" i="7"/>
  <c r="E22" i="7" s="1"/>
  <c r="D16" i="7"/>
  <c r="E16" i="7" s="1"/>
  <c r="L16" i="7" s="1"/>
  <c r="D36" i="7"/>
  <c r="E36" i="7" s="1"/>
  <c r="D30" i="7"/>
  <c r="E30" i="7" s="1"/>
  <c r="D37" i="7"/>
  <c r="E37" i="7" s="1"/>
  <c r="D43" i="7"/>
  <c r="E43" i="7" s="1"/>
  <c r="L28" i="7"/>
  <c r="H28" i="7"/>
  <c r="L35" i="7"/>
  <c r="H35" i="7"/>
  <c r="D9" i="7"/>
  <c r="E14" i="7"/>
  <c r="L14" i="7" s="1"/>
  <c r="C9" i="7"/>
  <c r="C15" i="7"/>
  <c r="E15" i="7" s="1"/>
  <c r="L15" i="7" s="1"/>
  <c r="E7" i="7"/>
  <c r="E8" i="7"/>
  <c r="C290" i="9" l="1"/>
  <c r="B288" i="9"/>
  <c r="C287" i="9"/>
  <c r="O277" i="9"/>
  <c r="B286" i="9"/>
  <c r="B287" i="9"/>
  <c r="D275" i="9"/>
  <c r="O274" i="9"/>
  <c r="D273" i="9"/>
  <c r="C288" i="9"/>
  <c r="AM6" i="11"/>
  <c r="C289" i="9"/>
  <c r="AM7" i="11"/>
  <c r="B289" i="9"/>
  <c r="AL7" i="11"/>
  <c r="O273" i="9"/>
  <c r="AM4" i="11"/>
  <c r="B290" i="9"/>
  <c r="AL8" i="11"/>
  <c r="U102" i="11"/>
  <c r="Y81" i="11"/>
  <c r="Y83" i="11" s="1"/>
  <c r="Y60" i="11"/>
  <c r="Y62" i="11" s="1"/>
  <c r="AA102" i="11"/>
  <c r="AA104" i="11" s="1"/>
  <c r="W123" i="11"/>
  <c r="W125" i="11" s="1"/>
  <c r="AA60" i="11"/>
  <c r="AA62" i="11" s="1"/>
  <c r="P113" i="11"/>
  <c r="Q113" i="11" s="1"/>
  <c r="P115" i="11"/>
  <c r="Q115" i="11" s="1"/>
  <c r="Y102" i="11"/>
  <c r="Y104" i="11" s="1"/>
  <c r="P31" i="11"/>
  <c r="Q31" i="11" s="1"/>
  <c r="AE81" i="11"/>
  <c r="AE83" i="11" s="1"/>
  <c r="P77" i="11"/>
  <c r="Q77" i="11" s="1"/>
  <c r="Y123" i="11"/>
  <c r="Y125" i="11" s="1"/>
  <c r="P71" i="11"/>
  <c r="Q71" i="11" s="1"/>
  <c r="AE60" i="11"/>
  <c r="AE62" i="11" s="1"/>
  <c r="P50" i="11"/>
  <c r="Q50" i="11" s="1"/>
  <c r="P29" i="11"/>
  <c r="Q29" i="11" s="1"/>
  <c r="P94" i="11"/>
  <c r="Q94" i="11" s="1"/>
  <c r="P73" i="11"/>
  <c r="Q73" i="11" s="1"/>
  <c r="AE102" i="11"/>
  <c r="AE104" i="11" s="1"/>
  <c r="P54" i="11"/>
  <c r="Q54" i="11" s="1"/>
  <c r="AC123" i="11"/>
  <c r="AC125" i="11" s="1"/>
  <c r="P119" i="11"/>
  <c r="Q119" i="11" s="1"/>
  <c r="AA123" i="11"/>
  <c r="AA125" i="11" s="1"/>
  <c r="P92" i="11"/>
  <c r="Q92" i="11" s="1"/>
  <c r="P117" i="11"/>
  <c r="Q117" i="11" s="1"/>
  <c r="AE123" i="11"/>
  <c r="AE125" i="11" s="1"/>
  <c r="P111" i="11"/>
  <c r="Q111" i="11" s="1"/>
  <c r="P75" i="11"/>
  <c r="Q75" i="11" s="1"/>
  <c r="AA81" i="11"/>
  <c r="AA83" i="11" s="1"/>
  <c r="P96" i="11"/>
  <c r="Q96" i="11" s="1"/>
  <c r="AC81" i="11"/>
  <c r="AC83" i="11" s="1"/>
  <c r="O276" i="9"/>
  <c r="D276" i="9"/>
  <c r="O275" i="9"/>
  <c r="C286" i="9"/>
  <c r="C292" i="9" s="1"/>
  <c r="H21" i="7"/>
  <c r="E9" i="7"/>
  <c r="L42" i="7"/>
  <c r="AG58" i="11"/>
  <c r="O100" i="11"/>
  <c r="O121" i="11"/>
  <c r="AG100" i="11"/>
  <c r="O58" i="11"/>
  <c r="O37" i="11"/>
  <c r="AG79" i="11"/>
  <c r="P69" i="11"/>
  <c r="O79" i="11"/>
  <c r="U20" i="11"/>
  <c r="AG20" i="11" s="1"/>
  <c r="AG18" i="11"/>
  <c r="AH12" i="11" s="1"/>
  <c r="AN9" i="11" s="1"/>
  <c r="AR9" i="11" s="1"/>
  <c r="U62" i="11"/>
  <c r="Q27" i="11"/>
  <c r="U41" i="11"/>
  <c r="AG41" i="11" s="1"/>
  <c r="AG39" i="11"/>
  <c r="AH33" i="11" s="1"/>
  <c r="AN8" i="11" s="1"/>
  <c r="AR8" i="11" s="1"/>
  <c r="U83" i="11"/>
  <c r="AG83" i="11" s="1"/>
  <c r="U123" i="11"/>
  <c r="AG121" i="11"/>
  <c r="Q90" i="11"/>
  <c r="B292" i="9"/>
  <c r="P16" i="11"/>
  <c r="P18" i="11" s="1"/>
  <c r="AO9" i="11" s="1"/>
  <c r="AS9" i="11" s="1"/>
  <c r="Q6" i="11"/>
  <c r="Q16" i="11" s="1"/>
  <c r="U104" i="11"/>
  <c r="AG104" i="11" s="1"/>
  <c r="Q48" i="11"/>
  <c r="H23" i="7"/>
  <c r="L23" i="7"/>
  <c r="H29" i="7"/>
  <c r="L29" i="7"/>
  <c r="H14" i="7"/>
  <c r="H22" i="7"/>
  <c r="I21" i="7" s="1"/>
  <c r="C51" i="7" s="1"/>
  <c r="E61" i="7" s="1"/>
  <c r="L22" i="7"/>
  <c r="M21" i="7" s="1"/>
  <c r="D51" i="7" s="1"/>
  <c r="E72" i="7" s="1"/>
  <c r="H30" i="7"/>
  <c r="L30" i="7"/>
  <c r="L36" i="7"/>
  <c r="H36" i="7"/>
  <c r="L43" i="7"/>
  <c r="H43" i="7"/>
  <c r="I42" i="7" s="1"/>
  <c r="C54" i="7" s="1"/>
  <c r="E64" i="7" s="1"/>
  <c r="L37" i="7"/>
  <c r="H37" i="7"/>
  <c r="H16" i="7"/>
  <c r="M14" i="7"/>
  <c r="D50" i="7" s="1"/>
  <c r="E71" i="7" s="1"/>
  <c r="H8" i="7"/>
  <c r="L8" i="7"/>
  <c r="H15" i="7"/>
  <c r="H7" i="7"/>
  <c r="L7" i="7"/>
  <c r="H9" i="7"/>
  <c r="L9" i="7"/>
  <c r="Q37" i="11" l="1"/>
  <c r="Q121" i="11"/>
  <c r="P121" i="11"/>
  <c r="P123" i="11" s="1"/>
  <c r="AO4" i="11" s="1"/>
  <c r="AS4" i="11" s="1"/>
  <c r="AG102" i="11"/>
  <c r="AH96" i="11" s="1"/>
  <c r="AN5" i="11" s="1"/>
  <c r="AR5" i="11" s="1"/>
  <c r="AG60" i="11"/>
  <c r="AH54" i="11" s="1"/>
  <c r="AN7" i="11" s="1"/>
  <c r="AR7" i="11" s="1"/>
  <c r="Q58" i="11"/>
  <c r="P58" i="11"/>
  <c r="P60" i="11" s="1"/>
  <c r="AO7" i="11" s="1"/>
  <c r="AS7" i="11" s="1"/>
  <c r="Q100" i="11"/>
  <c r="P100" i="11"/>
  <c r="P102" i="11" s="1"/>
  <c r="AO5" i="11" s="1"/>
  <c r="AS5" i="11" s="1"/>
  <c r="AG62" i="11"/>
  <c r="AG81" i="11"/>
  <c r="AH75" i="11" s="1"/>
  <c r="AN6" i="11" s="1"/>
  <c r="AR6" i="11" s="1"/>
  <c r="P37" i="11"/>
  <c r="P39" i="11" s="1"/>
  <c r="AO8" i="11" s="1"/>
  <c r="AS8" i="11" s="1"/>
  <c r="P20" i="11"/>
  <c r="AH14" i="11"/>
  <c r="AH35" i="11"/>
  <c r="M42" i="7"/>
  <c r="D54" i="7" s="1"/>
  <c r="E75" i="7" s="1"/>
  <c r="I28" i="7"/>
  <c r="C52" i="7" s="1"/>
  <c r="E62" i="7" s="1"/>
  <c r="U125" i="11"/>
  <c r="AG125" i="11" s="1"/>
  <c r="AG123" i="11"/>
  <c r="AH117" i="11" s="1"/>
  <c r="AN4" i="11" s="1"/>
  <c r="AR4" i="11" s="1"/>
  <c r="P79" i="11"/>
  <c r="P81" i="11" s="1"/>
  <c r="AO6" i="11" s="1"/>
  <c r="AS6" i="11" s="1"/>
  <c r="Q69" i="11"/>
  <c r="Q79" i="11" s="1"/>
  <c r="M35" i="7"/>
  <c r="D53" i="7" s="1"/>
  <c r="E74" i="7" s="1"/>
  <c r="M28" i="7"/>
  <c r="D52" i="7" s="1"/>
  <c r="E73" i="7" s="1"/>
  <c r="I14" i="7"/>
  <c r="C50" i="7" s="1"/>
  <c r="E60" i="7" s="1"/>
  <c r="I7" i="7"/>
  <c r="C49" i="7" s="1"/>
  <c r="E59" i="7" s="1"/>
  <c r="M7" i="7"/>
  <c r="D49" i="7" s="1"/>
  <c r="E70" i="7" s="1"/>
  <c r="I35" i="7"/>
  <c r="C53" i="7" s="1"/>
  <c r="E63" i="7" s="1"/>
  <c r="P104" i="11" l="1"/>
  <c r="AH56" i="11"/>
  <c r="P41" i="11"/>
  <c r="AH119" i="11"/>
  <c r="P125" i="11"/>
  <c r="AH98" i="11"/>
  <c r="AH77" i="11"/>
  <c r="P83" i="11"/>
  <c r="P62" i="11"/>
  <c r="H15" i="1" l="1"/>
  <c r="H5" i="4"/>
  <c r="C13" i="5" l="1"/>
  <c r="C12" i="5" s="1"/>
  <c r="C11" i="5" s="1"/>
  <c r="C10" i="5" s="1"/>
  <c r="C9" i="5" s="1"/>
  <c r="I4" i="5"/>
  <c r="R9" i="4"/>
  <c r="M9" i="4"/>
  <c r="H9" i="4"/>
  <c r="C8" i="4"/>
  <c r="D10" i="5"/>
  <c r="D9" i="5"/>
  <c r="F9" i="5" s="1"/>
  <c r="D14" i="5"/>
  <c r="D12" i="5"/>
  <c r="D13" i="5"/>
  <c r="D11" i="5"/>
  <c r="G9" i="5" l="1"/>
  <c r="G273" i="9" s="1"/>
  <c r="H9" i="5"/>
  <c r="R15" i="4"/>
  <c r="R16" i="4" s="1"/>
  <c r="R17" i="4" s="1"/>
  <c r="M15" i="4"/>
  <c r="M16" i="4" s="1"/>
  <c r="M17" i="4" s="1"/>
  <c r="H15" i="4"/>
  <c r="H16" i="4" s="1"/>
  <c r="H17" i="4" s="1"/>
  <c r="C15" i="4"/>
  <c r="H6" i="4"/>
  <c r="R273" i="9" l="1"/>
  <c r="H70" i="7" s="1"/>
  <c r="H59" i="7"/>
  <c r="H17" i="1"/>
  <c r="E8" i="4" s="1"/>
  <c r="E7" i="4"/>
  <c r="J9" i="4" l="1"/>
  <c r="T9" i="4"/>
  <c r="O9" i="4"/>
  <c r="C16" i="4"/>
  <c r="C17" i="4" s="1"/>
  <c r="H13" i="1" l="1"/>
  <c r="O6" i="4" s="1"/>
  <c r="C13" i="2"/>
  <c r="E11" i="1"/>
  <c r="H16" i="1" l="1"/>
  <c r="H14" i="1"/>
  <c r="H12" i="1"/>
  <c r="H11" i="1"/>
  <c r="H4" i="1"/>
  <c r="H10" i="1" s="1"/>
  <c r="G11" i="1"/>
  <c r="F12" i="1"/>
  <c r="F13" i="1"/>
  <c r="F10" i="1"/>
  <c r="C4" i="1"/>
  <c r="E10" i="1" l="1"/>
  <c r="E15" i="1"/>
  <c r="G15" i="1" s="1"/>
  <c r="C8" i="2" s="1"/>
  <c r="E5" i="4"/>
  <c r="T5" i="4"/>
  <c r="O5" i="4"/>
  <c r="T6" i="4"/>
  <c r="J6" i="4"/>
  <c r="D7" i="4"/>
  <c r="E12" i="1"/>
  <c r="G12" i="1" s="1"/>
  <c r="E16" i="1"/>
  <c r="G16" i="1" s="1"/>
  <c r="E17" i="1"/>
  <c r="G17" i="1" s="1"/>
  <c r="E14" i="1"/>
  <c r="G14" i="1" s="1"/>
  <c r="E13" i="1"/>
  <c r="G13" i="1" s="1"/>
  <c r="N6" i="4" s="1"/>
  <c r="J5" i="4"/>
  <c r="O7" i="4"/>
  <c r="J7" i="4"/>
  <c r="E6" i="4"/>
  <c r="J8" i="4"/>
  <c r="T8" i="4"/>
  <c r="O8" i="4"/>
  <c r="G10" i="1"/>
  <c r="I9" i="2" l="1"/>
  <c r="O9" i="2"/>
  <c r="O11" i="2"/>
  <c r="I11" i="2"/>
  <c r="I8" i="2"/>
  <c r="O8" i="2"/>
  <c r="I10" i="2"/>
  <c r="O10" i="2"/>
  <c r="F8" i="2"/>
  <c r="L7" i="2"/>
  <c r="F7" i="2"/>
  <c r="L8" i="2"/>
  <c r="E9" i="4"/>
  <c r="E11" i="4" s="1"/>
  <c r="C18" i="4" s="1"/>
  <c r="C19" i="4" s="1"/>
  <c r="D5" i="4"/>
  <c r="S5" i="4"/>
  <c r="O10" i="4"/>
  <c r="J10" i="4"/>
  <c r="J12" i="4" s="1"/>
  <c r="H18" i="4" s="1"/>
  <c r="H19" i="4" s="1"/>
  <c r="F12" i="5"/>
  <c r="F13" i="5"/>
  <c r="F14" i="5"/>
  <c r="F11" i="5"/>
  <c r="F10" i="5"/>
  <c r="N5" i="4"/>
  <c r="C7" i="2"/>
  <c r="C9" i="2" s="1"/>
  <c r="C10" i="2" s="1"/>
  <c r="C14" i="2" s="1"/>
  <c r="I5" i="4"/>
  <c r="I9" i="4"/>
  <c r="N9" i="4"/>
  <c r="S9" i="4"/>
  <c r="D8" i="4"/>
  <c r="T7" i="4"/>
  <c r="T10" i="4" s="1"/>
  <c r="E38" i="6" s="1"/>
  <c r="I7" i="4"/>
  <c r="S7" i="4"/>
  <c r="N7" i="4"/>
  <c r="S6" i="4"/>
  <c r="I6" i="4"/>
  <c r="I8" i="4"/>
  <c r="S8" i="4"/>
  <c r="D6" i="4"/>
  <c r="N8" i="4"/>
  <c r="O12" i="2" l="1"/>
  <c r="O13" i="2" s="1"/>
  <c r="O14" i="2" s="1"/>
  <c r="D28" i="6" s="1"/>
  <c r="I12" i="2"/>
  <c r="I13" i="2" s="1"/>
  <c r="I14" i="2" s="1"/>
  <c r="O11" i="6" s="1"/>
  <c r="E40" i="6"/>
  <c r="E43" i="6"/>
  <c r="E42" i="6"/>
  <c r="E41" i="6"/>
  <c r="L9" i="2"/>
  <c r="L10" i="2" s="1"/>
  <c r="L11" i="2" s="1"/>
  <c r="O12" i="4"/>
  <c r="M18" i="4" s="1"/>
  <c r="M19" i="4" s="1"/>
  <c r="F38" i="6"/>
  <c r="T12" i="4"/>
  <c r="R18" i="4" s="1"/>
  <c r="R19" i="4" s="1"/>
  <c r="G13" i="5"/>
  <c r="H13" i="5"/>
  <c r="G12" i="5"/>
  <c r="H12" i="5"/>
  <c r="G10" i="5"/>
  <c r="H10" i="5"/>
  <c r="F15" i="5"/>
  <c r="L4" i="5" s="1"/>
  <c r="G11" i="5"/>
  <c r="H11" i="5"/>
  <c r="G14" i="5"/>
  <c r="G278" i="9" s="1"/>
  <c r="H14" i="5"/>
  <c r="F9" i="2"/>
  <c r="F10" i="2" s="1"/>
  <c r="F13" i="2" s="1"/>
  <c r="C11" i="2"/>
  <c r="S10" i="4"/>
  <c r="S12" i="4" s="1"/>
  <c r="I10" i="4"/>
  <c r="I12" i="4" s="1"/>
  <c r="N10" i="4"/>
  <c r="N12" i="4" s="1"/>
  <c r="D9" i="4"/>
  <c r="D11" i="4" s="1"/>
  <c r="R278" i="9" l="1"/>
  <c r="H75" i="7" s="1"/>
  <c r="H64" i="7"/>
  <c r="G15" i="5"/>
  <c r="I16" i="2"/>
  <c r="I17" i="2" s="1"/>
  <c r="E39" i="6"/>
  <c r="F43" i="6"/>
  <c r="F39" i="6"/>
  <c r="F42" i="6"/>
  <c r="F40" i="6"/>
  <c r="F41" i="6"/>
  <c r="F14" i="2"/>
  <c r="H15" i="5"/>
  <c r="I12" i="5" s="1"/>
  <c r="B276" i="9" s="1"/>
  <c r="F11" i="2"/>
  <c r="I9" i="5" l="1"/>
  <c r="M276" i="9"/>
  <c r="C62" i="7"/>
  <c r="D29" i="6"/>
  <c r="D31" i="6"/>
  <c r="D32" i="6"/>
  <c r="D30" i="6"/>
  <c r="D33" i="6"/>
  <c r="I11" i="5"/>
  <c r="B275" i="9" s="1"/>
  <c r="I14" i="5"/>
  <c r="B278" i="9" s="1"/>
  <c r="I10" i="5"/>
  <c r="I13" i="5"/>
  <c r="B277" i="9" s="1"/>
  <c r="B274" i="9" l="1"/>
  <c r="C60" i="7" s="1"/>
  <c r="M277" i="9"/>
  <c r="C63" i="7"/>
  <c r="J9" i="5"/>
  <c r="J10" i="5" s="1"/>
  <c r="B273" i="9"/>
  <c r="M278" i="9"/>
  <c r="C64" i="7"/>
  <c r="M275" i="9"/>
  <c r="C61" i="7"/>
  <c r="C73" i="7"/>
  <c r="M274" i="9" l="1"/>
  <c r="C71" i="7" s="1"/>
  <c r="M273" i="9"/>
  <c r="C59" i="7"/>
  <c r="C5" i="6"/>
  <c r="C273" i="9"/>
  <c r="C75" i="7"/>
  <c r="C6" i="6"/>
  <c r="D6" i="6" s="1"/>
  <c r="C274" i="9"/>
  <c r="C72" i="7"/>
  <c r="C74" i="7"/>
  <c r="J11" i="5"/>
  <c r="D18" i="6" l="1"/>
  <c r="J18" i="6" s="1"/>
  <c r="C18" i="6"/>
  <c r="I18" i="6" s="1"/>
  <c r="E6" i="6"/>
  <c r="J12" i="5"/>
  <c r="C275" i="9"/>
  <c r="N273" i="9"/>
  <c r="D59" i="7"/>
  <c r="F59" i="7" s="1"/>
  <c r="E273" i="9"/>
  <c r="F286" i="9"/>
  <c r="E286" i="9"/>
  <c r="C17" i="6"/>
  <c r="I17" i="6" s="1"/>
  <c r="D5" i="6"/>
  <c r="N274" i="9"/>
  <c r="D60" i="7"/>
  <c r="F60" i="7" s="1"/>
  <c r="E287" i="9"/>
  <c r="E274" i="9"/>
  <c r="F287" i="9"/>
  <c r="C70" i="7"/>
  <c r="C7" i="6"/>
  <c r="D7" i="6" s="1"/>
  <c r="C8" i="6"/>
  <c r="D8" i="6" s="1"/>
  <c r="E18" i="6" l="1"/>
  <c r="K18" i="6" s="1"/>
  <c r="C39" i="6" s="1"/>
  <c r="D70" i="7"/>
  <c r="F70" i="7" s="1"/>
  <c r="P273" i="9"/>
  <c r="D17" i="6"/>
  <c r="J17" i="6" s="1"/>
  <c r="N275" i="9"/>
  <c r="D61" i="7"/>
  <c r="F61" i="7" s="1"/>
  <c r="E275" i="9"/>
  <c r="F288" i="9"/>
  <c r="E288" i="9"/>
  <c r="D71" i="7"/>
  <c r="F71" i="7" s="1"/>
  <c r="P274" i="9"/>
  <c r="J13" i="5"/>
  <c r="C277" i="9" s="1"/>
  <c r="C276" i="9"/>
  <c r="C19" i="6"/>
  <c r="I19" i="6" s="1"/>
  <c r="C20" i="6"/>
  <c r="I20" i="6" s="1"/>
  <c r="E7" i="6"/>
  <c r="D19" i="6"/>
  <c r="J19" i="6" s="1"/>
  <c r="C9" i="6" l="1"/>
  <c r="D9" i="6" s="1"/>
  <c r="J14" i="5"/>
  <c r="F7" i="6"/>
  <c r="O7" i="6" s="1"/>
  <c r="N276" i="9"/>
  <c r="D62" i="7"/>
  <c r="F62" i="7" s="1"/>
  <c r="E276" i="9"/>
  <c r="E289" i="9"/>
  <c r="F289" i="9"/>
  <c r="N277" i="9"/>
  <c r="D63" i="7"/>
  <c r="F63" i="7" s="1"/>
  <c r="E290" i="9"/>
  <c r="E277" i="9"/>
  <c r="F290" i="9"/>
  <c r="D72" i="7"/>
  <c r="F72" i="7" s="1"/>
  <c r="P275" i="9"/>
  <c r="C10" i="6"/>
  <c r="D10" i="6" s="1"/>
  <c r="C278" i="9"/>
  <c r="F5" i="6"/>
  <c r="E17" i="6"/>
  <c r="K17" i="6" s="1"/>
  <c r="C38" i="6" s="1"/>
  <c r="F6" i="6"/>
  <c r="O6" i="6" s="1"/>
  <c r="E19" i="6"/>
  <c r="K19" i="6" s="1"/>
  <c r="C40" i="6" s="1"/>
  <c r="C21" i="6"/>
  <c r="I21" i="6" s="1"/>
  <c r="E8" i="6"/>
  <c r="D20" i="6"/>
  <c r="J20" i="6" s="1"/>
  <c r="G5" i="6" l="1"/>
  <c r="D38" i="6" s="1"/>
  <c r="O5" i="6"/>
  <c r="E11" i="6"/>
  <c r="E23" i="6" s="1"/>
  <c r="K23" i="6" s="1"/>
  <c r="C44" i="6" s="1"/>
  <c r="C49" i="6" s="1"/>
  <c r="E10" i="6"/>
  <c r="C22" i="6"/>
  <c r="I22" i="6" s="1"/>
  <c r="F18" i="6"/>
  <c r="L18" i="6" s="1"/>
  <c r="C29" i="6" s="1"/>
  <c r="E29" i="6" s="1"/>
  <c r="F29" i="6" s="1"/>
  <c r="N278" i="9"/>
  <c r="D64" i="7"/>
  <c r="F64" i="7" s="1"/>
  <c r="G64" i="7" s="1"/>
  <c r="G63" i="7" s="1"/>
  <c r="F291" i="9"/>
  <c r="E291" i="9"/>
  <c r="E278" i="9"/>
  <c r="F278" i="9" s="1"/>
  <c r="F17" i="6"/>
  <c r="L17" i="6" s="1"/>
  <c r="C28" i="6" s="1"/>
  <c r="E28" i="6" s="1"/>
  <c r="F28" i="6" s="1"/>
  <c r="D74" i="7"/>
  <c r="F74" i="7" s="1"/>
  <c r="P277" i="9"/>
  <c r="D73" i="7"/>
  <c r="F73" i="7" s="1"/>
  <c r="P276" i="9"/>
  <c r="F19" i="6"/>
  <c r="L19" i="6" s="1"/>
  <c r="C30" i="6" s="1"/>
  <c r="E20" i="6"/>
  <c r="K20" i="6" s="1"/>
  <c r="C41" i="6" s="1"/>
  <c r="F8" i="6"/>
  <c r="E9" i="6"/>
  <c r="D21" i="6"/>
  <c r="J21" i="6" s="1"/>
  <c r="D22" i="6"/>
  <c r="J22" i="6" s="1"/>
  <c r="F20" i="6" l="1"/>
  <c r="L20" i="6" s="1"/>
  <c r="C31" i="6" s="1"/>
  <c r="E31" i="6" s="1"/>
  <c r="F31" i="6" s="1"/>
  <c r="O8" i="6"/>
  <c r="G62" i="7"/>
  <c r="J63" i="7"/>
  <c r="I63" i="7"/>
  <c r="J64" i="7"/>
  <c r="I64" i="7"/>
  <c r="G6" i="6"/>
  <c r="I278" i="9"/>
  <c r="H278" i="9"/>
  <c r="D75" i="7"/>
  <c r="F75" i="7" s="1"/>
  <c r="G75" i="7" s="1"/>
  <c r="P278" i="9"/>
  <c r="Q278" i="9" s="1"/>
  <c r="F277" i="9"/>
  <c r="E30" i="6"/>
  <c r="F30" i="6" s="1"/>
  <c r="F10" i="6"/>
  <c r="E22" i="6"/>
  <c r="K22" i="6" s="1"/>
  <c r="C43" i="6" s="1"/>
  <c r="C47" i="6" s="1"/>
  <c r="E21" i="6"/>
  <c r="K21" i="6" s="1"/>
  <c r="C42" i="6" s="1"/>
  <c r="F9" i="6"/>
  <c r="F21" i="6" l="1"/>
  <c r="L21" i="6" s="1"/>
  <c r="C32" i="6" s="1"/>
  <c r="E32" i="6" s="1"/>
  <c r="F32" i="6" s="1"/>
  <c r="O9" i="6"/>
  <c r="F22" i="6"/>
  <c r="L22" i="6" s="1"/>
  <c r="C33" i="6" s="1"/>
  <c r="O10" i="6"/>
  <c r="I277" i="9"/>
  <c r="H277" i="9"/>
  <c r="F276" i="9"/>
  <c r="J62" i="7"/>
  <c r="I62" i="7"/>
  <c r="G61" i="7"/>
  <c r="T278" i="9"/>
  <c r="S278" i="9"/>
  <c r="Q277" i="9"/>
  <c r="J75" i="7"/>
  <c r="I75" i="7"/>
  <c r="D39" i="6"/>
  <c r="G7" i="6"/>
  <c r="G74" i="7"/>
  <c r="I276" i="9" l="1"/>
  <c r="H276" i="9"/>
  <c r="F275" i="9"/>
  <c r="J74" i="7"/>
  <c r="I74" i="7"/>
  <c r="G73" i="7"/>
  <c r="G60" i="7"/>
  <c r="J61" i="7"/>
  <c r="I61" i="7"/>
  <c r="D40" i="6"/>
  <c r="G8" i="6"/>
  <c r="T277" i="9"/>
  <c r="S277" i="9"/>
  <c r="Q276" i="9"/>
  <c r="E33" i="6"/>
  <c r="F33" i="6" s="1"/>
  <c r="Q275" i="9" l="1"/>
  <c r="T276" i="9"/>
  <c r="S276" i="9"/>
  <c r="D41" i="6"/>
  <c r="G9" i="6"/>
  <c r="G59" i="7"/>
  <c r="J60" i="7"/>
  <c r="I60" i="7"/>
  <c r="I275" i="9"/>
  <c r="H275" i="9"/>
  <c r="F274" i="9"/>
  <c r="J73" i="7"/>
  <c r="I73" i="7"/>
  <c r="G72" i="7"/>
  <c r="J72" i="7" l="1"/>
  <c r="I72" i="7"/>
  <c r="G71" i="7"/>
  <c r="I274" i="9"/>
  <c r="H274" i="9"/>
  <c r="F273" i="9"/>
  <c r="J59" i="7"/>
  <c r="J65" i="7" s="1"/>
  <c r="I59" i="7"/>
  <c r="I65" i="7" s="1"/>
  <c r="G10" i="6"/>
  <c r="D43" i="6" s="1"/>
  <c r="C48" i="6" s="1"/>
  <c r="D42" i="6"/>
  <c r="C50" i="6" s="1"/>
  <c r="T275" i="9"/>
  <c r="S275" i="9"/>
  <c r="Q274" i="9"/>
  <c r="S274" i="9" l="1"/>
  <c r="T274" i="9"/>
  <c r="Q273" i="9"/>
  <c r="K59" i="7"/>
  <c r="J71" i="7"/>
  <c r="I71" i="7"/>
  <c r="G70" i="7"/>
  <c r="I273" i="9"/>
  <c r="I279" i="9" s="1"/>
  <c r="H273" i="9"/>
  <c r="H279" i="9" s="1"/>
  <c r="J273" i="9" l="1"/>
  <c r="J70" i="7"/>
  <c r="J76" i="7" s="1"/>
  <c r="I70" i="7"/>
  <c r="I76" i="7" s="1"/>
  <c r="T273" i="9"/>
  <c r="T279" i="9" s="1"/>
  <c r="S273" i="9"/>
  <c r="S279" i="9" s="1"/>
  <c r="K70" i="7" l="1"/>
  <c r="U273" i="9"/>
</calcChain>
</file>

<file path=xl/comments1.xml><?xml version="1.0" encoding="utf-8"?>
<comments xmlns="http://schemas.openxmlformats.org/spreadsheetml/2006/main">
  <authors>
    <author>Graziella</author>
  </authors>
  <commentList>
    <comment ref="C2" authorId="0" shapeId="0">
      <text>
        <r>
          <rPr>
            <sz val="9"/>
            <color indexed="81"/>
            <rFont val="Tahoma"/>
            <family val="2"/>
          </rPr>
          <t xml:space="preserve">Tab.6.2.1
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 xml:space="preserve">3.1.II
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 xml:space="preserve">Tab.2.5.I
</t>
        </r>
      </text>
    </comment>
  </commentList>
</comments>
</file>

<file path=xl/comments2.xml><?xml version="1.0" encoding="utf-8"?>
<comments xmlns="http://schemas.openxmlformats.org/spreadsheetml/2006/main">
  <authors>
    <author>Graziella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 xml:space="preserve">con cornicione da 40cm
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 xml:space="preserve">Dalla fondazione senza torrino
</t>
        </r>
      </text>
    </comment>
  </commentList>
</comments>
</file>

<file path=xl/comments3.xml><?xml version="1.0" encoding="utf-8"?>
<comments xmlns="http://schemas.openxmlformats.org/spreadsheetml/2006/main">
  <authors>
    <author>Graziella</author>
  </authors>
  <commentList>
    <comment ref="L6" authorId="0" shapeId="0">
      <text>
        <r>
          <rPr>
            <b/>
            <sz val="9"/>
            <color indexed="81"/>
            <rFont val="Tahoma"/>
            <family val="2"/>
          </rPr>
          <t>Corto con balcone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</rPr>
          <t xml:space="preserve">prendo quella di bordo perché eccentrica
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</rPr>
          <t>pilastro 9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</rPr>
          <t xml:space="preserve">pilastro 13
</t>
        </r>
      </text>
    </comment>
  </commentList>
</comments>
</file>

<file path=xl/comments4.xml><?xml version="1.0" encoding="utf-8"?>
<comments xmlns="http://schemas.openxmlformats.org/spreadsheetml/2006/main">
  <authors>
    <author>Graziella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4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5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5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6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7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8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9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9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9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0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0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0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1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16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2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35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3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4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4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4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5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5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59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63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6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78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81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85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88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92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195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199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02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06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11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20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2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27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0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34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37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41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44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  <comment ref="A248" authorId="0" shapeId="0">
      <text>
        <r>
          <rPr>
            <b/>
            <sz val="9"/>
            <color indexed="81"/>
            <rFont val="Tahoma"/>
            <family val="2"/>
          </rPr>
          <t xml:space="preserve">Pilastro di piatto
</t>
        </r>
      </text>
    </comment>
    <comment ref="A253" authorId="0" shapeId="0">
      <text>
        <r>
          <rPr>
            <b/>
            <sz val="9"/>
            <color indexed="81"/>
            <rFont val="Tahoma"/>
            <family val="2"/>
          </rPr>
          <t>Pilastro di coltello</t>
        </r>
      </text>
    </comment>
  </commentList>
</comments>
</file>

<file path=xl/sharedStrings.xml><?xml version="1.0" encoding="utf-8"?>
<sst xmlns="http://schemas.openxmlformats.org/spreadsheetml/2006/main" count="902" uniqueCount="212">
  <si>
    <t>Coeff.parz</t>
  </si>
  <si>
    <r>
      <t>γ</t>
    </r>
    <r>
      <rPr>
        <b/>
        <vertAlign val="subscript"/>
        <sz val="12"/>
        <color theme="1"/>
        <rFont val="Arial"/>
        <family val="2"/>
      </rPr>
      <t>G1</t>
    </r>
  </si>
  <si>
    <r>
      <t>γ</t>
    </r>
    <r>
      <rPr>
        <b/>
        <vertAlign val="subscript"/>
        <sz val="12"/>
        <color theme="1"/>
        <rFont val="Arial"/>
        <family val="2"/>
      </rPr>
      <t>G2,</t>
    </r>
    <r>
      <rPr>
        <b/>
        <sz val="12"/>
        <color theme="1"/>
        <rFont val="Arial"/>
        <family val="2"/>
      </rPr>
      <t>γ</t>
    </r>
    <r>
      <rPr>
        <b/>
        <vertAlign val="subscript"/>
        <sz val="12"/>
        <color theme="1"/>
        <rFont val="Arial"/>
        <family val="2"/>
      </rPr>
      <t>Q2</t>
    </r>
  </si>
  <si>
    <t>Solaio</t>
  </si>
  <si>
    <t>Tramezzi</t>
  </si>
  <si>
    <t>Sbalzi</t>
  </si>
  <si>
    <t xml:space="preserve">Tamponature </t>
  </si>
  <si>
    <t>Scala</t>
  </si>
  <si>
    <r>
      <t>g</t>
    </r>
    <r>
      <rPr>
        <b/>
        <vertAlign val="subscript"/>
        <sz val="12"/>
        <color theme="1"/>
        <rFont val="Arial"/>
        <family val="2"/>
      </rPr>
      <t>k</t>
    </r>
  </si>
  <si>
    <r>
      <t>q</t>
    </r>
    <r>
      <rPr>
        <b/>
        <vertAlign val="subscript"/>
        <sz val="12"/>
        <color theme="1"/>
        <rFont val="Arial"/>
        <family val="2"/>
      </rPr>
      <t>k</t>
    </r>
  </si>
  <si>
    <r>
      <t>g</t>
    </r>
    <r>
      <rPr>
        <b/>
        <vertAlign val="subscript"/>
        <sz val="12"/>
        <color theme="1"/>
        <rFont val="Arial"/>
        <family val="2"/>
      </rPr>
      <t>d</t>
    </r>
  </si>
  <si>
    <r>
      <t>q</t>
    </r>
    <r>
      <rPr>
        <b/>
        <vertAlign val="subscript"/>
        <sz val="12"/>
        <color theme="1"/>
        <rFont val="Arial"/>
        <family val="2"/>
      </rPr>
      <t>d</t>
    </r>
  </si>
  <si>
    <t>KN/m</t>
  </si>
  <si>
    <r>
      <t>KN/m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</si>
  <si>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y</t>
    </r>
    <r>
      <rPr>
        <b/>
        <vertAlign val="subscript"/>
        <sz val="12"/>
        <color theme="1"/>
        <rFont val="Symbol"/>
        <family val="1"/>
        <charset val="2"/>
      </rPr>
      <t>2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</si>
  <si>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sz val="11"/>
        <color theme="1"/>
        <rFont val="Arial"/>
        <family val="2"/>
      </rPr>
      <t>(ass.sisma)</t>
    </r>
  </si>
  <si>
    <r>
      <t>g</t>
    </r>
    <r>
      <rPr>
        <b/>
        <vertAlign val="subscript"/>
        <sz val="12"/>
        <color theme="1"/>
        <rFont val="Arial"/>
        <family val="2"/>
      </rPr>
      <t>d</t>
    </r>
    <r>
      <rPr>
        <b/>
        <sz val="12"/>
        <color theme="1"/>
        <rFont val="Arial"/>
        <family val="2"/>
      </rPr>
      <t>+q</t>
    </r>
    <r>
      <rPr>
        <b/>
        <vertAlign val="subscript"/>
        <sz val="12"/>
        <color theme="1"/>
        <rFont val="Arial"/>
        <family val="2"/>
      </rPr>
      <t xml:space="preserve">d </t>
    </r>
    <r>
      <rPr>
        <sz val="11"/>
        <color theme="1"/>
        <rFont val="Arial"/>
        <family val="2"/>
      </rPr>
      <t>(pres.sisma)</t>
    </r>
  </si>
  <si>
    <t>STIMA DEI MOMENTI FLETTENTI NELLE TRAVI PER EFFETTO DEI CARICHI VERTICALI</t>
  </si>
  <si>
    <t>Sviluppo</t>
  </si>
  <si>
    <t>Blu valori da inserire</t>
  </si>
  <si>
    <t>Carico</t>
  </si>
  <si>
    <t>p.p. solaio</t>
  </si>
  <si>
    <t>p.p.trave</t>
  </si>
  <si>
    <t>Categ.</t>
  </si>
  <si>
    <t>A</t>
  </si>
  <si>
    <t>C2</t>
  </si>
  <si>
    <t>Valori stimati da calcolare</t>
  </si>
  <si>
    <t>Luce trav.</t>
  </si>
  <si>
    <t>r'</t>
  </si>
  <si>
    <t>KNm</t>
  </si>
  <si>
    <t>d</t>
  </si>
  <si>
    <t>Spes.solaio</t>
  </si>
  <si>
    <t>m</t>
  </si>
  <si>
    <t>Trave a spes. 100x24</t>
  </si>
  <si>
    <t>p.p. solaio + tramezzi</t>
  </si>
  <si>
    <t>Pilastro 5 interno</t>
  </si>
  <si>
    <t>Carico al piano</t>
  </si>
  <si>
    <t>piani</t>
  </si>
  <si>
    <t>Momento con sisma</t>
  </si>
  <si>
    <t>b(largh)</t>
  </si>
  <si>
    <t>h</t>
  </si>
  <si>
    <t>Copri ferro</t>
  </si>
  <si>
    <t>cm</t>
  </si>
  <si>
    <t>Pilastro 10 laterale con sbalzo</t>
  </si>
  <si>
    <t>solaio</t>
  </si>
  <si>
    <t>scala</t>
  </si>
  <si>
    <t>tamponatura</t>
  </si>
  <si>
    <t>sbalzo</t>
  </si>
  <si>
    <r>
      <t xml:space="preserve">carico ass. sisma </t>
    </r>
    <r>
      <rPr>
        <b/>
        <sz val="11"/>
        <color theme="1"/>
        <rFont val="Calibri"/>
        <family val="2"/>
        <scheme val="minor"/>
      </rPr>
      <t>[KN]</t>
    </r>
  </si>
  <si>
    <r>
      <t xml:space="preserve">carico prs. Sisma </t>
    </r>
    <r>
      <rPr>
        <b/>
        <sz val="11"/>
        <color theme="1"/>
        <rFont val="Calibri"/>
        <family val="2"/>
        <scheme val="minor"/>
      </rPr>
      <t>[KN]</t>
    </r>
  </si>
  <si>
    <t xml:space="preserve">Sforzo norm al piede </t>
  </si>
  <si>
    <t>Area nec</t>
  </si>
  <si>
    <t>Pilastro 13 in corispond. della scala</t>
  </si>
  <si>
    <r>
      <t xml:space="preserve">Sviluppo </t>
    </r>
    <r>
      <rPr>
        <b/>
        <sz val="11"/>
        <color theme="1"/>
        <rFont val="Calibri"/>
        <family val="2"/>
        <scheme val="minor"/>
      </rPr>
      <t>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  <r>
      <rPr>
        <sz val="11"/>
        <color theme="1"/>
        <rFont val="Calibri"/>
        <family val="2"/>
        <scheme val="minor"/>
      </rPr>
      <t>,</t>
    </r>
    <r>
      <rPr>
        <b/>
        <sz val="11"/>
        <color theme="1"/>
        <rFont val="Calibri"/>
        <family val="2"/>
        <scheme val="minor"/>
      </rPr>
      <t>[m]</t>
    </r>
  </si>
  <si>
    <r>
      <t>f</t>
    </r>
    <r>
      <rPr>
        <vertAlign val="subscript"/>
        <sz val="11"/>
        <color theme="1"/>
        <rFont val="Calibri"/>
        <family val="2"/>
        <scheme val="minor"/>
      </rPr>
      <t>ck</t>
    </r>
  </si>
  <si>
    <r>
      <t>f</t>
    </r>
    <r>
      <rPr>
        <vertAlign val="subscript"/>
        <sz val="11"/>
        <color theme="1"/>
        <rFont val="Calibri"/>
        <family val="2"/>
        <scheme val="minor"/>
      </rPr>
      <t>cd</t>
    </r>
  </si>
  <si>
    <t>σ</t>
  </si>
  <si>
    <t>trave emerg</t>
  </si>
  <si>
    <t>p.p. pilastro</t>
  </si>
  <si>
    <r>
      <t>Campata 14-20 trave 110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a spessore </t>
    </r>
  </si>
  <si>
    <t xml:space="preserve">Campata 5-11 trave di spina 107 </t>
  </si>
  <si>
    <t>Area piano interrato</t>
  </si>
  <si>
    <t xml:space="preserve">Area piano tipo </t>
  </si>
  <si>
    <t>Area terrazza</t>
  </si>
  <si>
    <t>Area torrino</t>
  </si>
  <si>
    <t>6+torrino</t>
  </si>
  <si>
    <t>somma</t>
  </si>
  <si>
    <r>
      <t>Superficie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</si>
  <si>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Peso imp. [KN]</t>
  </si>
  <si>
    <t>Massa [KNm]</t>
  </si>
  <si>
    <t>Area II impal.</t>
  </si>
  <si>
    <t>Quota z [m]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</si>
  <si>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</si>
  <si>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t>Alt.edific</t>
  </si>
  <si>
    <t>Parametri dinamici</t>
  </si>
  <si>
    <r>
      <t>V</t>
    </r>
    <r>
      <rPr>
        <vertAlign val="subscript"/>
        <sz val="11"/>
        <color theme="1"/>
        <rFont val="Calibri"/>
        <family val="2"/>
        <scheme val="minor"/>
      </rPr>
      <t>b</t>
    </r>
  </si>
  <si>
    <r>
      <t>S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(T1)</t>
    </r>
  </si>
  <si>
    <t>Wz [KNm]</t>
  </si>
  <si>
    <t xml:space="preserve"> Forza F          [KN]</t>
  </si>
  <si>
    <t>Taglio V [KN]</t>
  </si>
  <si>
    <t>Pilastri nella direxione x</t>
  </si>
  <si>
    <t>Pilastri nella direxione y</t>
  </si>
  <si>
    <t>Impalcato</t>
  </si>
  <si>
    <t>1 testa</t>
  </si>
  <si>
    <t>1 piede</t>
  </si>
  <si>
    <t>Luce trave</t>
  </si>
  <si>
    <t>Classe di duttilità</t>
  </si>
  <si>
    <t>Incremento per gerarchia delle resistenze (1,5 per classe di duttilità A, 1,3 per classe di duttilità B)</t>
  </si>
  <si>
    <t>Dimensionamento travi emergenti</t>
  </si>
  <si>
    <r>
      <t>V</t>
    </r>
    <r>
      <rPr>
        <b/>
        <vertAlign val="subscript"/>
        <sz val="12"/>
        <color theme="1"/>
        <rFont val="Calibri"/>
        <family val="2"/>
        <scheme val="minor"/>
      </rPr>
      <t xml:space="preserve">globale </t>
    </r>
    <r>
      <rPr>
        <b/>
        <sz val="12"/>
        <color theme="1"/>
        <rFont val="Calibri"/>
        <family val="2"/>
        <scheme val="minor"/>
      </rPr>
      <t>[KN]</t>
    </r>
  </si>
  <si>
    <r>
      <t>V</t>
    </r>
    <r>
      <rPr>
        <b/>
        <vertAlign val="subscript"/>
        <sz val="12"/>
        <color theme="1"/>
        <rFont val="Calibri"/>
        <family val="2"/>
        <scheme val="minor"/>
      </rPr>
      <t xml:space="preserve">pilastro </t>
    </r>
    <r>
      <rPr>
        <b/>
        <sz val="12"/>
        <color theme="1"/>
        <rFont val="Calibri"/>
        <family val="2"/>
        <scheme val="minor"/>
      </rPr>
      <t>[KN]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</si>
  <si>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pilastro </t>
    </r>
    <r>
      <rPr>
        <b/>
        <sz val="12"/>
        <color theme="1"/>
        <rFont val="Calibri"/>
        <family val="2"/>
        <scheme val="minor"/>
      </rPr>
      <t>[KNm]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</si>
  <si>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trave </t>
    </r>
    <r>
      <rPr>
        <b/>
        <sz val="12"/>
        <color theme="1"/>
        <rFont val="Calibri"/>
        <family val="2"/>
        <scheme val="minor"/>
      </rPr>
      <t>[KNm]</t>
    </r>
  </si>
  <si>
    <r>
      <t>∆N</t>
    </r>
    <r>
      <rPr>
        <b/>
        <vertAlign val="subscript"/>
        <sz val="12"/>
        <color theme="1"/>
        <rFont val="Calibri"/>
        <family val="2"/>
        <scheme val="minor"/>
      </rPr>
      <t xml:space="preserve">pilastri </t>
    </r>
    <r>
      <rPr>
        <b/>
        <sz val="12"/>
        <color theme="1"/>
        <rFont val="Calibri"/>
        <family val="2"/>
        <scheme val="minor"/>
      </rPr>
      <t>[KN]</t>
    </r>
  </si>
  <si>
    <t>Momento ass. sisma</t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</si>
  <si>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max      </t>
    </r>
    <r>
      <rPr>
        <b/>
        <sz val="12"/>
        <color theme="1"/>
        <rFont val="Calibri"/>
        <family val="2"/>
        <scheme val="minor"/>
      </rPr>
      <t>[KN]</t>
    </r>
  </si>
  <si>
    <t>Altez. utile [m]</t>
  </si>
  <si>
    <r>
      <t>M</t>
    </r>
    <r>
      <rPr>
        <b/>
        <vertAlign val="subscript"/>
        <sz val="14"/>
        <color theme="1"/>
        <rFont val="Calibri"/>
        <family val="2"/>
        <scheme val="minor"/>
      </rPr>
      <t>az. sismica</t>
    </r>
  </si>
  <si>
    <r>
      <t xml:space="preserve">M </t>
    </r>
    <r>
      <rPr>
        <b/>
        <vertAlign val="subscript"/>
        <sz val="14"/>
        <color theme="1"/>
        <rFont val="Calibri"/>
        <family val="2"/>
        <scheme val="minor"/>
      </rPr>
      <t>carichi vert</t>
    </r>
  </si>
  <si>
    <t>Incremento per eccentricità +20% (per travi perimetrali)</t>
  </si>
  <si>
    <r>
      <t>M</t>
    </r>
    <r>
      <rPr>
        <b/>
        <vertAlign val="subscript"/>
        <sz val="14"/>
        <color theme="1"/>
        <rFont val="Calibri"/>
        <family val="2"/>
        <scheme val="minor"/>
      </rPr>
      <t>pilastro</t>
    </r>
  </si>
  <si>
    <t>Dimensionamento pilastri</t>
  </si>
  <si>
    <r>
      <t>N</t>
    </r>
    <r>
      <rPr>
        <vertAlign val="subscript"/>
        <sz val="14"/>
        <color theme="1"/>
        <rFont val="Calibri"/>
        <family val="2"/>
        <scheme val="minor"/>
      </rPr>
      <t>maggiore</t>
    </r>
  </si>
  <si>
    <t>M</t>
  </si>
  <si>
    <r>
      <t>N</t>
    </r>
    <r>
      <rPr>
        <vertAlign val="subscript"/>
        <sz val="14"/>
        <color theme="1"/>
        <rFont val="Calibri"/>
        <family val="2"/>
        <scheme val="minor"/>
      </rPr>
      <t>minore</t>
    </r>
  </si>
  <si>
    <t>Approccio globale semplificato</t>
  </si>
  <si>
    <t>Piano 6</t>
  </si>
  <si>
    <t>pilastro</t>
  </si>
  <si>
    <t>trave sup</t>
  </si>
  <si>
    <t>trave inf</t>
  </si>
  <si>
    <t>b [cm]</t>
  </si>
  <si>
    <t>h [cm]</t>
  </si>
  <si>
    <t>n</t>
  </si>
  <si>
    <t>Direzione x</t>
  </si>
  <si>
    <t>luce [m]</t>
  </si>
  <si>
    <t>Trave emerg. 30x70</t>
  </si>
  <si>
    <t>Pilastri 30x80</t>
  </si>
  <si>
    <t>Campata 4-10 trave perimetrale 106</t>
  </si>
  <si>
    <t>Coppie M-N più gravose</t>
  </si>
  <si>
    <r>
      <t>N</t>
    </r>
    <r>
      <rPr>
        <vertAlign val="subscript"/>
        <sz val="12"/>
        <color theme="1"/>
        <rFont val="Calibri"/>
        <family val="2"/>
        <scheme val="minor"/>
      </rPr>
      <t>max</t>
    </r>
  </si>
  <si>
    <r>
      <t>N</t>
    </r>
    <r>
      <rPr>
        <vertAlign val="subscript"/>
        <sz val="12"/>
        <color theme="1"/>
        <rFont val="Calibri"/>
        <family val="2"/>
        <scheme val="minor"/>
      </rPr>
      <t>min</t>
    </r>
  </si>
  <si>
    <t>Sezione pilastri</t>
  </si>
  <si>
    <t>Armatura pilastri</t>
  </si>
  <si>
    <t>E [MPa]</t>
  </si>
  <si>
    <t>Sezione travi</t>
  </si>
  <si>
    <t>Alt. Pilastri</t>
  </si>
  <si>
    <t>SΙ</t>
  </si>
  <si>
    <t>6fi20</t>
  </si>
  <si>
    <r>
      <t>K [KN/mm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]</t>
    </r>
  </si>
  <si>
    <r>
      <rPr>
        <b/>
        <sz val="12"/>
        <color theme="1"/>
        <rFont val="GreekC"/>
      </rPr>
      <t>Ι</t>
    </r>
    <r>
      <rPr>
        <b/>
        <sz val="12"/>
        <color theme="1"/>
        <rFont val="Calibri"/>
        <family val="2"/>
        <scheme val="minor"/>
      </rPr>
      <t xml:space="preserve"> [cm</t>
    </r>
    <r>
      <rPr>
        <b/>
        <vertAlign val="super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]</t>
    </r>
  </si>
  <si>
    <t>Dati</t>
  </si>
  <si>
    <t>Piano 5</t>
  </si>
  <si>
    <t>Piani</t>
  </si>
  <si>
    <t>Campata 7-13 trave di spina 109</t>
  </si>
  <si>
    <t>Piano 4</t>
  </si>
  <si>
    <t>Piano 3</t>
  </si>
  <si>
    <t>Piano 2</t>
  </si>
  <si>
    <t>Piano 1 - interrato</t>
  </si>
  <si>
    <t>Direzione y</t>
  </si>
  <si>
    <t>pilastro con due travi emergenti</t>
  </si>
  <si>
    <r>
      <rPr>
        <b/>
        <sz val="12"/>
        <color theme="1"/>
        <rFont val="GreekC"/>
      </rPr>
      <t>Ι</t>
    </r>
    <r>
      <rPr>
        <b/>
        <sz val="12"/>
        <color theme="1"/>
        <rFont val="Calibri"/>
        <family val="2"/>
        <scheme val="minor"/>
      </rPr>
      <t xml:space="preserve"> /l</t>
    </r>
  </si>
  <si>
    <t>B</t>
  </si>
  <si>
    <t>30x80</t>
  </si>
  <si>
    <t>Alt. Pilastri piano int</t>
  </si>
  <si>
    <t>pilastro con due travi a spessore</t>
  </si>
  <si>
    <t>Trave a spessore</t>
  </si>
  <si>
    <r>
      <t>K</t>
    </r>
    <r>
      <rPr>
        <b/>
        <vertAlign val="subscript"/>
        <sz val="12"/>
        <color theme="1"/>
        <rFont val="Calibri"/>
        <family val="2"/>
        <scheme val="minor"/>
      </rPr>
      <t>tot</t>
    </r>
  </si>
  <si>
    <t>pilastro con una trave emergente</t>
  </si>
  <si>
    <t>pilastro con una trave a spessore</t>
  </si>
  <si>
    <t>pilastro con una trave emergente e una a spessore</t>
  </si>
  <si>
    <t>Piano 1 interrato</t>
  </si>
  <si>
    <t>u        [mm]</t>
  </si>
  <si>
    <t>Fu          [KN mm]</t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</si>
  <si>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x  </t>
    </r>
    <r>
      <rPr>
        <sz val="12"/>
        <color theme="1"/>
        <rFont val="Calibri"/>
        <family val="2"/>
        <scheme val="minor"/>
      </rPr>
      <t>[KN/mm]</t>
    </r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</si>
  <si>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y  </t>
    </r>
    <r>
      <rPr>
        <sz val="12"/>
        <color theme="1"/>
        <rFont val="Calibri"/>
        <family val="2"/>
        <scheme val="minor"/>
      </rPr>
      <t>[KN/mm]</t>
    </r>
  </si>
  <si>
    <r>
      <t>d</t>
    </r>
    <r>
      <rPr>
        <vertAlign val="subscript"/>
        <sz val="12"/>
        <color theme="1"/>
        <rFont val="Calibri"/>
        <family val="2"/>
        <scheme val="minor"/>
      </rPr>
      <t xml:space="preserve">r       </t>
    </r>
    <r>
      <rPr>
        <sz val="12"/>
        <color theme="1"/>
        <rFont val="Calibri"/>
        <family val="2"/>
        <scheme val="minor"/>
      </rPr>
      <t>[mm]</t>
    </r>
  </si>
  <si>
    <r>
      <t>mu</t>
    </r>
    <r>
      <rPr>
        <vertAlign val="superscript"/>
        <sz val="12"/>
        <color theme="1"/>
        <rFont val="Calibri"/>
        <family val="2"/>
        <scheme val="minor"/>
      </rPr>
      <t xml:space="preserve">2                  </t>
    </r>
    <r>
      <rPr>
        <sz val="12"/>
        <color theme="1"/>
        <rFont val="Calibri"/>
        <family val="2"/>
        <scheme val="minor"/>
      </rPr>
      <t>[KN mm s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</si>
  <si>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Somma</t>
  </si>
  <si>
    <t>T</t>
  </si>
  <si>
    <t>Fu             [KN mm]</t>
  </si>
  <si>
    <t xml:space="preserve">   Controllo del periodo</t>
  </si>
  <si>
    <t>Ripartizione del taglio tra i pilastri e previsione del momento flettente</t>
  </si>
  <si>
    <t>Ordine</t>
  </si>
  <si>
    <t>x-pilastri equivalenti</t>
  </si>
  <si>
    <t>y-pilastri equivalenti</t>
  </si>
  <si>
    <r>
      <t>V</t>
    </r>
    <r>
      <rPr>
        <b/>
        <vertAlign val="subscript"/>
        <sz val="12"/>
        <color theme="1"/>
        <rFont val="Calibri"/>
        <family val="2"/>
        <scheme val="minor"/>
      </rPr>
      <t>pilastro-y</t>
    </r>
  </si>
  <si>
    <r>
      <t>V</t>
    </r>
    <r>
      <rPr>
        <b/>
        <vertAlign val="subscript"/>
        <sz val="12"/>
        <color theme="1"/>
        <rFont val="Calibri"/>
        <family val="2"/>
        <scheme val="minor"/>
      </rPr>
      <t>pilastro-x</t>
    </r>
  </si>
  <si>
    <t>sy</t>
  </si>
  <si>
    <r>
      <t>sy</t>
    </r>
    <r>
      <rPr>
        <vertAlign val="superscript"/>
        <sz val="11"/>
        <color theme="1"/>
        <rFont val="Calibri"/>
        <family val="2"/>
        <scheme val="minor"/>
      </rPr>
      <t>2</t>
    </r>
  </si>
  <si>
    <r>
      <t>y</t>
    </r>
    <r>
      <rPr>
        <vertAlign val="subscript"/>
        <sz val="11"/>
        <color theme="1"/>
        <rFont val="Calibri"/>
        <family val="2"/>
        <scheme val="minor"/>
      </rPr>
      <t>r</t>
    </r>
  </si>
  <si>
    <t>Rigidezze per forze x - Piano interrato</t>
  </si>
  <si>
    <t>Rigidezze per forze y - Piano interrato</t>
  </si>
  <si>
    <t>sx</t>
  </si>
  <si>
    <r>
      <t>sx</t>
    </r>
    <r>
      <rPr>
        <vertAlign val="superscript"/>
        <sz val="11"/>
        <color theme="1"/>
        <rFont val="Calibri"/>
        <family val="2"/>
        <scheme val="minor"/>
      </rPr>
      <t>2</t>
    </r>
  </si>
  <si>
    <r>
      <t>x</t>
    </r>
    <r>
      <rPr>
        <vertAlign val="subscript"/>
        <sz val="11"/>
        <color theme="1"/>
        <rFont val="Calibri"/>
        <family val="2"/>
        <scheme val="minor"/>
      </rPr>
      <t>r</t>
    </r>
  </si>
  <si>
    <t>y</t>
  </si>
  <si>
    <t>x</t>
  </si>
  <si>
    <t>Rigidezze per forze x - Piano 2</t>
  </si>
  <si>
    <t>Rigidezze per forze y - 2</t>
  </si>
  <si>
    <r>
      <t>y</t>
    </r>
    <r>
      <rPr>
        <vertAlign val="subscript"/>
        <sz val="12"/>
        <color theme="1"/>
        <rFont val="Calibri"/>
        <family val="2"/>
        <scheme val="minor"/>
      </rPr>
      <t>r</t>
    </r>
  </si>
  <si>
    <r>
      <t>y</t>
    </r>
    <r>
      <rPr>
        <vertAlign val="subscript"/>
        <sz val="12"/>
        <color theme="1"/>
        <rFont val="Calibri"/>
        <family val="2"/>
        <scheme val="minor"/>
      </rPr>
      <t>m</t>
    </r>
  </si>
  <si>
    <t>Dis. cr-cm</t>
  </si>
  <si>
    <r>
      <t>x</t>
    </r>
    <r>
      <rPr>
        <vertAlign val="subscript"/>
        <sz val="12"/>
        <color theme="1"/>
        <rFont val="Calibri"/>
        <family val="2"/>
        <scheme val="minor"/>
      </rPr>
      <t>m</t>
    </r>
  </si>
  <si>
    <t>Rigidezze per forze x - Piano 3</t>
  </si>
  <si>
    <t>Rigidezze per forze y - 3</t>
  </si>
  <si>
    <t>Rigidezze per forze x - Piano 4</t>
  </si>
  <si>
    <t>Rigidezze per forze y - 4</t>
  </si>
  <si>
    <t>Rigidezze per forze x - Piano 5</t>
  </si>
  <si>
    <t>Rigidezze per forze y - 6</t>
  </si>
  <si>
    <t>Rigidezze per forze y - 5</t>
  </si>
  <si>
    <t>Rigidezze per forze x - Piano 6</t>
  </si>
  <si>
    <r>
      <t>K</t>
    </r>
    <r>
      <rPr>
        <vertAlign val="subscript"/>
        <sz val="12"/>
        <color theme="1"/>
        <rFont val="Calibri"/>
        <family val="2"/>
        <scheme val="minor"/>
      </rPr>
      <t xml:space="preserve">x </t>
    </r>
    <r>
      <rPr>
        <sz val="12"/>
        <color theme="1"/>
        <rFont val="Calibri"/>
        <family val="2"/>
        <scheme val="minor"/>
      </rPr>
      <t>[KN/mm]</t>
    </r>
  </si>
  <si>
    <t>Media</t>
  </si>
  <si>
    <t>i pilastri più rigidi portano un taglio leggermente minore da quello previsto</t>
  </si>
  <si>
    <t>Pilastro 9 d'angolo</t>
  </si>
  <si>
    <t>Campata 15-21 trave perimetrale 111</t>
  </si>
  <si>
    <t xml:space="preserve">Svil. Solaio </t>
  </si>
  <si>
    <t>Svil. Sbalzo</t>
  </si>
  <si>
    <t>p.p. tamp</t>
  </si>
  <si>
    <t>p.p. sbalzo</t>
  </si>
  <si>
    <t>luve trav</t>
  </si>
  <si>
    <r>
      <t>Peso unit.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</si>
  <si>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trave</t>
  </si>
  <si>
    <t>trave emerg.</t>
  </si>
  <si>
    <t>trave a spess</t>
  </si>
  <si>
    <t>b</t>
  </si>
  <si>
    <r>
      <t>x</t>
    </r>
    <r>
      <rPr>
        <vertAlign val="subscript"/>
        <sz val="12"/>
        <color theme="1"/>
        <rFont val="Calibri"/>
        <family val="2"/>
        <scheme val="minor"/>
      </rPr>
      <t xml:space="preserve">k                 </t>
    </r>
    <r>
      <rPr>
        <sz val="12"/>
        <color theme="1"/>
        <rFont val="Calibri"/>
        <family val="2"/>
        <scheme val="minor"/>
      </rPr>
      <t>[m]</t>
    </r>
  </si>
  <si>
    <r>
      <t>y</t>
    </r>
    <r>
      <rPr>
        <vertAlign val="subscript"/>
        <sz val="12"/>
        <color theme="1"/>
        <rFont val="Calibri"/>
        <family val="2"/>
        <scheme val="minor"/>
      </rPr>
      <t xml:space="preserve">k                 </t>
    </r>
    <r>
      <rPr>
        <sz val="12"/>
        <color theme="1"/>
        <rFont val="Calibri"/>
        <family val="2"/>
        <scheme val="minor"/>
      </rPr>
      <t>[m]</t>
    </r>
  </si>
  <si>
    <r>
      <t>x</t>
    </r>
    <r>
      <rPr>
        <vertAlign val="subscript"/>
        <sz val="12"/>
        <color theme="1"/>
        <rFont val="Calibri"/>
        <family val="2"/>
        <scheme val="minor"/>
      </rPr>
      <t xml:space="preserve">m                 </t>
    </r>
    <r>
      <rPr>
        <sz val="12"/>
        <color theme="1"/>
        <rFont val="Calibri"/>
        <family val="2"/>
        <scheme val="minor"/>
      </rPr>
      <t>[m]</t>
    </r>
  </si>
  <si>
    <r>
      <t>y</t>
    </r>
    <r>
      <rPr>
        <vertAlign val="subscript"/>
        <sz val="12"/>
        <color theme="1"/>
        <rFont val="Calibri"/>
        <family val="2"/>
        <scheme val="minor"/>
      </rPr>
      <t xml:space="preserve">m                 </t>
    </r>
    <r>
      <rPr>
        <sz val="12"/>
        <color theme="1"/>
        <rFont val="Calibri"/>
        <family val="2"/>
        <scheme val="minor"/>
      </rPr>
      <t>[m]</t>
    </r>
  </si>
  <si>
    <r>
      <rPr>
        <sz val="12"/>
        <color theme="1"/>
        <rFont val="GreekC"/>
      </rPr>
      <t>∆</t>
    </r>
    <r>
      <rPr>
        <sz val="12"/>
        <color theme="1"/>
        <rFont val="Calibri"/>
        <family val="2"/>
      </rPr>
      <t>x      [m]</t>
    </r>
  </si>
  <si>
    <r>
      <rPr>
        <sz val="12"/>
        <color theme="1"/>
        <rFont val="GreekC"/>
      </rPr>
      <t>∆</t>
    </r>
    <r>
      <rPr>
        <sz val="12"/>
        <color theme="1"/>
        <rFont val="Calibri"/>
        <family val="2"/>
      </rPr>
      <t>y               [m]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</si>
</sst>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GreekC"/>
    </font>
    <font>
      <sz val="11"/>
      <color rgb="FF002060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1"/>
      <name val="GreekC"/>
    </font>
    <font>
      <sz val="14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GreekC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horizontal="right" vertical="top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/>
    </xf>
    <xf numFmtId="164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vertical="center"/>
    </xf>
    <xf numFmtId="0" fontId="15" fillId="0" borderId="0" xfId="0" applyFont="1" applyAlignment="1"/>
    <xf numFmtId="2" fontId="0" fillId="0" borderId="0" xfId="0" applyNumberFormat="1"/>
    <xf numFmtId="0" fontId="0" fillId="0" borderId="14" xfId="0" applyBorder="1"/>
    <xf numFmtId="0" fontId="16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5" xfId="0" applyBorder="1"/>
    <xf numFmtId="164" fontId="1" fillId="0" borderId="6" xfId="0" applyNumberFormat="1" applyFont="1" applyFill="1" applyBorder="1" applyAlignment="1">
      <alignment horizontal="center" vertical="center"/>
    </xf>
    <xf numFmtId="0" fontId="19" fillId="0" borderId="0" xfId="0" applyFont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4" borderId="28" xfId="0" applyFill="1" applyBorder="1" applyAlignment="1">
      <alignment horizontal="center" vertical="center" wrapText="1"/>
    </xf>
    <xf numFmtId="0" fontId="0" fillId="0" borderId="0" xfId="0" applyFill="1"/>
    <xf numFmtId="0" fontId="0" fillId="0" borderId="8" xfId="0" applyBorder="1"/>
    <xf numFmtId="0" fontId="0" fillId="4" borderId="36" xfId="0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4" borderId="34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0" applyFont="1"/>
    <xf numFmtId="2" fontId="24" fillId="0" borderId="0" xfId="0" applyNumberFormat="1" applyFont="1" applyAlignment="1"/>
    <xf numFmtId="0" fontId="24" fillId="0" borderId="0" xfId="0" applyFont="1" applyAlignment="1"/>
    <xf numFmtId="0" fontId="25" fillId="0" borderId="0" xfId="0" applyFont="1"/>
    <xf numFmtId="2" fontId="24" fillId="0" borderId="0" xfId="0" applyNumberFormat="1" applyFont="1" applyAlignment="1">
      <alignment horizontal="right" vertical="center"/>
    </xf>
    <xf numFmtId="1" fontId="4" fillId="0" borderId="0" xfId="0" applyNumberFormat="1" applyFont="1"/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23" xfId="0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2" fontId="4" fillId="2" borderId="0" xfId="0" applyNumberFormat="1" applyFont="1" applyFill="1" applyAlignment="1">
      <alignment horizontal="center" vertical="center"/>
    </xf>
    <xf numFmtId="0" fontId="4" fillId="0" borderId="1" xfId="0" applyFont="1" applyBorder="1"/>
    <xf numFmtId="0" fontId="6" fillId="0" borderId="1" xfId="0" applyFont="1" applyBorder="1"/>
    <xf numFmtId="2" fontId="4" fillId="0" borderId="1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3" borderId="1" xfId="0" applyFont="1" applyFill="1" applyBorder="1"/>
    <xf numFmtId="0" fontId="1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top" wrapText="1"/>
    </xf>
    <xf numFmtId="0" fontId="0" fillId="5" borderId="13" xfId="0" applyFill="1" applyBorder="1"/>
    <xf numFmtId="0" fontId="14" fillId="0" borderId="6" xfId="0" applyFont="1" applyBorder="1" applyAlignment="1">
      <alignment horizontal="center" vertical="center"/>
    </xf>
    <xf numFmtId="0" fontId="4" fillId="0" borderId="36" xfId="0" applyFont="1" applyBorder="1" applyAlignment="1"/>
    <xf numFmtId="0" fontId="4" fillId="0" borderId="24" xfId="0" applyFont="1" applyBorder="1"/>
    <xf numFmtId="0" fontId="16" fillId="0" borderId="1" xfId="0" applyFont="1" applyBorder="1" applyAlignment="1">
      <alignment horizontal="right" vertical="center"/>
    </xf>
    <xf numFmtId="2" fontId="16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4" fillId="0" borderId="3" xfId="0" applyFont="1" applyBorder="1"/>
    <xf numFmtId="0" fontId="4" fillId="0" borderId="31" xfId="0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2" fontId="4" fillId="0" borderId="3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vertical="center"/>
    </xf>
    <xf numFmtId="0" fontId="0" fillId="0" borderId="3" xfId="0" applyBorder="1"/>
    <xf numFmtId="0" fontId="4" fillId="0" borderId="3" xfId="0" applyFont="1" applyBorder="1" applyAlignment="1"/>
    <xf numFmtId="2" fontId="4" fillId="0" borderId="4" xfId="0" applyNumberFormat="1" applyFont="1" applyBorder="1" applyAlignment="1">
      <alignment horizontal="right" vertical="center"/>
    </xf>
    <xf numFmtId="0" fontId="4" fillId="0" borderId="5" xfId="0" applyFont="1" applyBorder="1"/>
    <xf numFmtId="0" fontId="4" fillId="0" borderId="5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164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15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3" borderId="0" xfId="0" applyFont="1" applyFill="1" applyBorder="1"/>
    <xf numFmtId="0" fontId="0" fillId="0" borderId="38" xfId="0" applyFill="1" applyBorder="1" applyAlignment="1">
      <alignment horizontal="left" vertical="center"/>
    </xf>
    <xf numFmtId="164" fontId="16" fillId="0" borderId="1" xfId="0" applyNumberFormat="1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Border="1" applyAlignment="1"/>
    <xf numFmtId="1" fontId="4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/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3" xfId="0" applyFont="1" applyBorder="1" applyAlignment="1">
      <alignment horizontal="center" vertical="center"/>
    </xf>
    <xf numFmtId="0" fontId="6" fillId="0" borderId="3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51" xfId="0" applyFont="1" applyBorder="1"/>
    <xf numFmtId="0" fontId="16" fillId="0" borderId="3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164" fontId="0" fillId="0" borderId="30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1" fontId="0" fillId="0" borderId="28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0" fillId="0" borderId="31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164" fontId="0" fillId="0" borderId="40" xfId="0" applyNumberFormat="1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1" fontId="0" fillId="0" borderId="37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1" fontId="0" fillId="0" borderId="32" xfId="0" applyNumberFormat="1" applyFont="1" applyBorder="1" applyAlignment="1">
      <alignment horizontal="center" vertical="center"/>
    </xf>
    <xf numFmtId="0" fontId="6" fillId="0" borderId="52" xfId="0" applyFont="1" applyBorder="1"/>
    <xf numFmtId="0" fontId="6" fillId="0" borderId="53" xfId="0" applyFont="1" applyBorder="1"/>
    <xf numFmtId="0" fontId="6" fillId="0" borderId="54" xfId="0" applyFont="1" applyBorder="1"/>
    <xf numFmtId="0" fontId="6" fillId="0" borderId="14" xfId="0" applyFont="1" applyBorder="1"/>
    <xf numFmtId="0" fontId="6" fillId="0" borderId="55" xfId="0" applyFont="1" applyBorder="1"/>
    <xf numFmtId="0" fontId="0" fillId="0" borderId="5" xfId="0" applyBorder="1"/>
    <xf numFmtId="0" fontId="0" fillId="0" borderId="31" xfId="0" applyBorder="1"/>
    <xf numFmtId="0" fontId="0" fillId="0" borderId="32" xfId="0" applyBorder="1"/>
    <xf numFmtId="0" fontId="0" fillId="0" borderId="5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60" xfId="0" applyNumberFormat="1" applyFont="1" applyBorder="1" applyAlignment="1">
      <alignment horizontal="center" vertical="center"/>
    </xf>
    <xf numFmtId="0" fontId="0" fillId="0" borderId="61" xfId="0" applyFont="1" applyBorder="1" applyAlignment="1">
      <alignment horizontal="center" vertical="center"/>
    </xf>
    <xf numFmtId="0" fontId="0" fillId="0" borderId="6" xfId="0" applyBorder="1"/>
    <xf numFmtId="0" fontId="0" fillId="0" borderId="61" xfId="0" applyBorder="1"/>
    <xf numFmtId="164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34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6" fillId="9" borderId="20" xfId="0" applyFont="1" applyFill="1" applyBorder="1" applyAlignment="1">
      <alignment horizontal="center"/>
    </xf>
    <xf numFmtId="11" fontId="0" fillId="0" borderId="4" xfId="0" applyNumberFormat="1" applyFont="1" applyBorder="1" applyAlignment="1">
      <alignment horizontal="center" vertical="center"/>
    </xf>
    <xf numFmtId="11" fontId="0" fillId="0" borderId="40" xfId="0" applyNumberFormat="1" applyFont="1" applyBorder="1" applyAlignment="1">
      <alignment horizontal="center" vertical="center"/>
    </xf>
    <xf numFmtId="11" fontId="0" fillId="0" borderId="1" xfId="0" applyNumberFormat="1" applyFont="1" applyBorder="1" applyAlignment="1">
      <alignment horizontal="center" vertical="center"/>
    </xf>
    <xf numFmtId="11" fontId="0" fillId="0" borderId="4" xfId="0" applyNumberFormat="1" applyBorder="1"/>
    <xf numFmtId="0" fontId="4" fillId="0" borderId="0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47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1" xfId="0" applyNumberFormat="1" applyBorder="1"/>
    <xf numFmtId="0" fontId="0" fillId="0" borderId="19" xfId="0" applyBorder="1"/>
    <xf numFmtId="2" fontId="12" fillId="0" borderId="21" xfId="0" applyNumberFormat="1" applyFont="1" applyBorder="1"/>
    <xf numFmtId="2" fontId="0" fillId="0" borderId="0" xfId="0" applyNumberForma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0" xfId="0" applyFont="1" applyBorder="1"/>
    <xf numFmtId="0" fontId="0" fillId="0" borderId="0" xfId="0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0" fillId="11" borderId="2" xfId="0" applyNumberFormat="1" applyFill="1" applyBorder="1" applyAlignment="1">
      <alignment horizontal="center" vertical="center"/>
    </xf>
    <xf numFmtId="0" fontId="4" fillId="0" borderId="19" xfId="0" applyFont="1" applyBorder="1"/>
    <xf numFmtId="2" fontId="6" fillId="0" borderId="21" xfId="0" applyNumberFormat="1" applyFont="1" applyBorder="1"/>
    <xf numFmtId="0" fontId="6" fillId="0" borderId="21" xfId="0" applyFont="1" applyBorder="1"/>
    <xf numFmtId="2" fontId="4" fillId="0" borderId="21" xfId="0" applyNumberFormat="1" applyFont="1" applyBorder="1"/>
    <xf numFmtId="164" fontId="0" fillId="0" borderId="34" xfId="0" applyNumberFormat="1" applyFont="1" applyBorder="1" applyAlignment="1">
      <alignment horizontal="center" vertical="center"/>
    </xf>
    <xf numFmtId="0" fontId="0" fillId="0" borderId="6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0" fillId="0" borderId="47" xfId="0" applyBorder="1"/>
    <xf numFmtId="0" fontId="0" fillId="0" borderId="35" xfId="0" applyBorder="1"/>
    <xf numFmtId="164" fontId="0" fillId="0" borderId="6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2" fontId="1" fillId="0" borderId="47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/>
    </xf>
    <xf numFmtId="0" fontId="14" fillId="0" borderId="47" xfId="0" applyFont="1" applyBorder="1"/>
    <xf numFmtId="2" fontId="4" fillId="0" borderId="47" xfId="0" applyNumberFormat="1" applyFont="1" applyBorder="1" applyAlignment="1">
      <alignment horizontal="left" vertical="center"/>
    </xf>
    <xf numFmtId="2" fontId="4" fillId="0" borderId="47" xfId="0" applyNumberFormat="1" applyFont="1" applyBorder="1"/>
    <xf numFmtId="0" fontId="4" fillId="0" borderId="47" xfId="0" applyFont="1" applyBorder="1"/>
    <xf numFmtId="0" fontId="4" fillId="0" borderId="47" xfId="0" applyFont="1" applyBorder="1" applyAlignment="1"/>
    <xf numFmtId="0" fontId="4" fillId="0" borderId="35" xfId="0" applyFont="1" applyBorder="1" applyAlignment="1">
      <alignment vertical="center"/>
    </xf>
    <xf numFmtId="0" fontId="16" fillId="0" borderId="1" xfId="0" applyFont="1" applyBorder="1"/>
    <xf numFmtId="0" fontId="16" fillId="0" borderId="1" xfId="0" applyFont="1" applyBorder="1" applyAlignment="1">
      <alignment vertical="center"/>
    </xf>
    <xf numFmtId="2" fontId="0" fillId="0" borderId="1" xfId="0" applyNumberFormat="1" applyBorder="1"/>
    <xf numFmtId="0" fontId="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right" vertical="center"/>
    </xf>
    <xf numFmtId="0" fontId="14" fillId="0" borderId="30" xfId="0" applyFont="1" applyBorder="1"/>
    <xf numFmtId="0" fontId="12" fillId="0" borderId="31" xfId="0" applyFont="1" applyBorder="1" applyAlignment="1">
      <alignment vertical="center"/>
    </xf>
    <xf numFmtId="164" fontId="16" fillId="0" borderId="29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164" fontId="0" fillId="0" borderId="0" xfId="0" applyNumberFormat="1"/>
    <xf numFmtId="0" fontId="1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7" borderId="56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12" fillId="4" borderId="1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center"/>
    </xf>
    <xf numFmtId="0" fontId="12" fillId="4" borderId="21" xfId="0" applyFont="1" applyFill="1" applyBorder="1" applyAlignment="1">
      <alignment horizontal="center"/>
    </xf>
    <xf numFmtId="0" fontId="0" fillId="7" borderId="14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vertical="center" wrapText="1"/>
    </xf>
    <xf numFmtId="0" fontId="0" fillId="0" borderId="23" xfId="0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7" borderId="25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0" borderId="24" xfId="0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0" fontId="0" fillId="0" borderId="23" xfId="0" applyBorder="1" applyAlignment="1">
      <alignment horizontal="center" wrapText="1"/>
    </xf>
    <xf numFmtId="0" fontId="16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4" borderId="30" xfId="0" applyFont="1" applyFill="1" applyBorder="1" applyAlignment="1">
      <alignment horizontal="center" wrapText="1"/>
    </xf>
    <xf numFmtId="0" fontId="12" fillId="4" borderId="39" xfId="0" applyFont="1" applyFill="1" applyBorder="1" applyAlignment="1">
      <alignment horizontal="center" wrapText="1"/>
    </xf>
    <xf numFmtId="0" fontId="12" fillId="4" borderId="29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5" borderId="22" xfId="0" applyFill="1" applyBorder="1" applyAlignment="1">
      <alignment horizontal="center" wrapText="1"/>
    </xf>
    <xf numFmtId="0" fontId="0" fillId="5" borderId="24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12" fillId="4" borderId="28" xfId="0" applyFont="1" applyFill="1" applyBorder="1" applyAlignment="1">
      <alignment horizontal="center" wrapText="1"/>
    </xf>
    <xf numFmtId="0" fontId="12" fillId="4" borderId="37" xfId="0" applyFont="1" applyFill="1" applyBorder="1" applyAlignment="1">
      <alignment horizontal="center" wrapText="1"/>
    </xf>
    <xf numFmtId="0" fontId="12" fillId="4" borderId="33" xfId="0" applyFont="1" applyFill="1" applyBorder="1" applyAlignment="1">
      <alignment horizontal="center" wrapText="1"/>
    </xf>
    <xf numFmtId="0" fontId="12" fillId="4" borderId="38" xfId="0" applyFont="1" applyFill="1" applyBorder="1" applyAlignment="1">
      <alignment horizontal="center" wrapText="1"/>
    </xf>
    <xf numFmtId="0" fontId="12" fillId="4" borderId="28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22" fillId="6" borderId="29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23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9" borderId="40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4" fillId="9" borderId="40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4" fillId="10" borderId="22" xfId="0" applyFont="1" applyFill="1" applyBorder="1" applyAlignment="1">
      <alignment horizontal="center" vertical="center"/>
    </xf>
    <xf numFmtId="0" fontId="34" fillId="10" borderId="24" xfId="0" applyFont="1" applyFill="1" applyBorder="1" applyAlignment="1">
      <alignment horizontal="center" vertical="center"/>
    </xf>
    <xf numFmtId="0" fontId="6" fillId="9" borderId="40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6" fillId="9" borderId="40" xfId="0" applyFont="1" applyFill="1" applyBorder="1" applyAlignment="1">
      <alignment horizontal="center" wrapText="1"/>
    </xf>
    <xf numFmtId="0" fontId="6" fillId="9" borderId="10" xfId="0" applyFont="1" applyFill="1" applyBorder="1" applyAlignment="1">
      <alignment horizontal="center" wrapText="1"/>
    </xf>
    <xf numFmtId="0" fontId="4" fillId="9" borderId="40" xfId="0" applyFont="1" applyFill="1" applyBorder="1" applyAlignment="1">
      <alignment horizontal="center" wrapText="1"/>
    </xf>
    <xf numFmtId="0" fontId="4" fillId="9" borderId="10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9" borderId="1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vertical="center"/>
    </xf>
    <xf numFmtId="0" fontId="4" fillId="9" borderId="47" xfId="0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9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0" fillId="9" borderId="1" xfId="0" applyFont="1" applyFill="1" applyBorder="1" applyAlignment="1">
      <alignment horizontal="center" wrapText="1"/>
    </xf>
    <xf numFmtId="0" fontId="33" fillId="10" borderId="65" xfId="0" applyFont="1" applyFill="1" applyBorder="1" applyAlignment="1">
      <alignment horizontal="center" vertical="center"/>
    </xf>
    <xf numFmtId="0" fontId="32" fillId="10" borderId="63" xfId="0" applyFont="1" applyFill="1" applyBorder="1" applyAlignment="1">
      <alignment horizontal="center" vertical="center"/>
    </xf>
    <xf numFmtId="0" fontId="32" fillId="10" borderId="38" xfId="0" applyFont="1" applyFill="1" applyBorder="1" applyAlignment="1">
      <alignment horizontal="center" vertical="center"/>
    </xf>
    <xf numFmtId="0" fontId="32" fillId="10" borderId="64" xfId="0" applyFont="1" applyFill="1" applyBorder="1" applyAlignment="1">
      <alignment horizontal="center" vertical="center"/>
    </xf>
    <xf numFmtId="0" fontId="33" fillId="10" borderId="50" xfId="0" applyFont="1" applyFill="1" applyBorder="1" applyAlignment="1">
      <alignment horizontal="center" vertical="center"/>
    </xf>
    <xf numFmtId="0" fontId="32" fillId="10" borderId="12" xfId="0" applyFont="1" applyFill="1" applyBorder="1" applyAlignment="1">
      <alignment horizontal="center" vertical="center"/>
    </xf>
    <xf numFmtId="0" fontId="32" fillId="10" borderId="13" xfId="0" applyFont="1" applyFill="1" applyBorder="1" applyAlignment="1">
      <alignment horizontal="center" vertical="center"/>
    </xf>
    <xf numFmtId="0" fontId="33" fillId="10" borderId="56" xfId="0" applyFont="1" applyFill="1" applyBorder="1" applyAlignment="1">
      <alignment horizontal="center" vertical="center"/>
    </xf>
    <xf numFmtId="0" fontId="32" fillId="10" borderId="33" xfId="0" applyFont="1" applyFill="1" applyBorder="1" applyAlignment="1">
      <alignment horizontal="center" vertical="center"/>
    </xf>
    <xf numFmtId="0" fontId="32" fillId="10" borderId="45" xfId="0" applyFont="1" applyFill="1" applyBorder="1" applyAlignment="1">
      <alignment horizontal="center" vertical="center"/>
    </xf>
    <xf numFmtId="0" fontId="12" fillId="9" borderId="50" xfId="0" applyFont="1" applyFill="1" applyBorder="1" applyAlignment="1">
      <alignment horizontal="center"/>
    </xf>
    <xf numFmtId="0" fontId="12" fillId="9" borderId="13" xfId="0" applyFont="1" applyFill="1" applyBorder="1" applyAlignment="1">
      <alignment horizontal="center"/>
    </xf>
    <xf numFmtId="0" fontId="33" fillId="8" borderId="25" xfId="0" applyFont="1" applyFill="1" applyBorder="1" applyAlignment="1">
      <alignment horizontal="center" vertical="center"/>
    </xf>
    <xf numFmtId="0" fontId="33" fillId="8" borderId="26" xfId="0" applyFont="1" applyFill="1" applyBorder="1" applyAlignment="1">
      <alignment horizontal="center" vertical="center"/>
    </xf>
    <xf numFmtId="0" fontId="33" fillId="8" borderId="0" xfId="0" applyFont="1" applyFill="1" applyBorder="1" applyAlignment="1">
      <alignment horizontal="center" vertical="center"/>
    </xf>
    <xf numFmtId="0" fontId="33" fillId="8" borderId="27" xfId="0" applyFont="1" applyFill="1" applyBorder="1" applyAlignment="1">
      <alignment horizontal="center" vertical="center"/>
    </xf>
    <xf numFmtId="0" fontId="6" fillId="9" borderId="19" xfId="0" applyFont="1" applyFill="1" applyBorder="1" applyAlignment="1">
      <alignment horizontal="center"/>
    </xf>
    <xf numFmtId="0" fontId="6" fillId="9" borderId="20" xfId="0" applyFont="1" applyFill="1" applyBorder="1" applyAlignment="1">
      <alignment horizontal="center"/>
    </xf>
    <xf numFmtId="0" fontId="6" fillId="9" borderId="21" xfId="0" applyFont="1" applyFill="1" applyBorder="1" applyAlignment="1">
      <alignment horizontal="center"/>
    </xf>
    <xf numFmtId="0" fontId="33" fillId="10" borderId="62" xfId="0" applyFont="1" applyFill="1" applyBorder="1" applyAlignment="1">
      <alignment horizontal="center" vertical="center"/>
    </xf>
    <xf numFmtId="0" fontId="33" fillId="8" borderId="14" xfId="0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36" fillId="10" borderId="0" xfId="0" applyFont="1" applyFill="1" applyAlignment="1">
      <alignment horizontal="center"/>
    </xf>
    <xf numFmtId="0" fontId="37" fillId="9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99"/>
      <color rgb="FFFFFFCC"/>
      <color rgb="FFFFCC99"/>
      <color rgb="FFFF9966"/>
      <color rgb="FFFFFF99"/>
      <color rgb="FF66FF66"/>
      <color rgb="FF99FF99"/>
      <color rgb="FF00FF00"/>
      <color rgb="FF3399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297180</xdr:colOff>
      <xdr:row>32</xdr:row>
      <xdr:rowOff>195512</xdr:rowOff>
    </xdr:from>
    <xdr:to>
      <xdr:col>15</xdr:col>
      <xdr:colOff>541020</xdr:colOff>
      <xdr:row>53</xdr:row>
      <xdr:rowOff>45719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98F4691-4175-4076-8691-FA92008BD0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292" t="6890" r="62704" b="49623"/>
        <a:stretch/>
      </xdr:blipFill>
      <xdr:spPr>
        <a:xfrm>
          <a:off x="6278880" y="6527732"/>
          <a:ext cx="5524500" cy="4094547"/>
        </a:xfrm>
        <a:prstGeom prst="rect">
          <a:avLst/>
        </a:prstGeom>
      </xdr:spPr>
    </xdr:pic>
    <xdr:clientData/>
  </xdr:twoCellAnchor>
  <xdr:twoCellAnchor editAs="oneCell">
    <xdr:from>
      <xdr:col>15</xdr:col>
      <xdr:colOff>638174</xdr:colOff>
      <xdr:row>32</xdr:row>
      <xdr:rowOff>96309</xdr:rowOff>
    </xdr:from>
    <xdr:to>
      <xdr:col>26</xdr:col>
      <xdr:colOff>92407</xdr:colOff>
      <xdr:row>55</xdr:row>
      <xdr:rowOff>144734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A3E7A87-A0F6-42A2-979F-8A44FE5D28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4584" t="6964" r="62245" b="50067"/>
        <a:stretch/>
      </xdr:blipFill>
      <xdr:spPr>
        <a:xfrm>
          <a:off x="11953874" y="6487584"/>
          <a:ext cx="6445583" cy="4734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22"/>
  <sheetViews>
    <sheetView topLeftCell="B1" workbookViewId="0">
      <selection activeCell="M4" sqref="M4"/>
    </sheetView>
  </sheetViews>
  <sheetFormatPr defaultRowHeight="14.4" x14ac:dyDescent="0.3"/>
  <cols>
    <col min="2" max="2" width="13.44140625" customWidth="1"/>
    <col min="7" max="7" width="10.88671875" customWidth="1"/>
    <col min="8" max="8" width="11.77734375" customWidth="1"/>
    <col min="12" max="12" width="17.77734375" customWidth="1"/>
  </cols>
  <sheetData>
    <row r="2" spans="2:13" ht="15.6" x14ac:dyDescent="0.3">
      <c r="C2" s="281" t="s">
        <v>0</v>
      </c>
      <c r="D2" s="281"/>
    </row>
    <row r="3" spans="2:13" ht="18" x14ac:dyDescent="0.4">
      <c r="C3" s="86" t="s">
        <v>1</v>
      </c>
      <c r="D3" s="86" t="s">
        <v>2</v>
      </c>
      <c r="E3" s="3"/>
      <c r="G3" s="88" t="s">
        <v>23</v>
      </c>
      <c r="H3" s="37" t="s">
        <v>24</v>
      </c>
      <c r="I3" s="37" t="s">
        <v>25</v>
      </c>
      <c r="L3" s="88" t="s">
        <v>31</v>
      </c>
      <c r="M3" s="37">
        <v>0.24</v>
      </c>
    </row>
    <row r="4" spans="2:13" ht="18.600000000000001" x14ac:dyDescent="0.4">
      <c r="B4" s="2"/>
      <c r="C4" s="63">
        <f>1.3</f>
        <v>1.3</v>
      </c>
      <c r="D4" s="87">
        <v>1.5</v>
      </c>
      <c r="E4" s="4"/>
      <c r="G4" s="89" t="s">
        <v>14</v>
      </c>
      <c r="H4" s="37">
        <f>0.3</f>
        <v>0.3</v>
      </c>
      <c r="I4" s="37">
        <v>0.6</v>
      </c>
      <c r="L4" s="88" t="s">
        <v>125</v>
      </c>
      <c r="M4" s="90">
        <v>3.2</v>
      </c>
    </row>
    <row r="5" spans="2:13" ht="15.6" x14ac:dyDescent="0.3">
      <c r="B5" s="136"/>
      <c r="C5" s="68"/>
      <c r="D5" s="140"/>
      <c r="E5" s="4"/>
      <c r="G5" s="141"/>
      <c r="H5" s="135"/>
      <c r="I5" s="135"/>
      <c r="L5" s="88" t="s">
        <v>143</v>
      </c>
      <c r="M5" s="143">
        <v>3</v>
      </c>
    </row>
    <row r="6" spans="2:13" ht="15.6" x14ac:dyDescent="0.3">
      <c r="B6" s="19"/>
      <c r="C6" s="19"/>
      <c r="D6" s="4"/>
      <c r="E6" s="4"/>
      <c r="L6" s="88" t="s">
        <v>37</v>
      </c>
      <c r="M6" s="90">
        <v>6</v>
      </c>
    </row>
    <row r="7" spans="2:13" x14ac:dyDescent="0.3">
      <c r="B7" s="4"/>
      <c r="C7" s="4"/>
      <c r="D7" s="4"/>
      <c r="E7" s="4"/>
      <c r="L7" s="88" t="s">
        <v>41</v>
      </c>
      <c r="M7" s="90">
        <v>0.04</v>
      </c>
    </row>
    <row r="8" spans="2:13" ht="16.2" thickBot="1" x14ac:dyDescent="0.4">
      <c r="B8" s="4"/>
      <c r="C8" s="4"/>
      <c r="D8" s="4"/>
      <c r="E8" s="4"/>
      <c r="L8" s="91" t="s">
        <v>54</v>
      </c>
      <c r="M8" s="90">
        <v>25</v>
      </c>
    </row>
    <row r="9" spans="2:13" ht="31.2" customHeight="1" thickBot="1" x14ac:dyDescent="0.35">
      <c r="B9" s="18"/>
      <c r="C9" s="92" t="s">
        <v>8</v>
      </c>
      <c r="D9" s="93" t="s">
        <v>9</v>
      </c>
      <c r="E9" s="93" t="s">
        <v>10</v>
      </c>
      <c r="F9" s="93" t="s">
        <v>11</v>
      </c>
      <c r="G9" s="94" t="s">
        <v>15</v>
      </c>
      <c r="H9" s="94" t="s">
        <v>16</v>
      </c>
      <c r="I9" s="95"/>
      <c r="L9" s="142" t="s">
        <v>123</v>
      </c>
      <c r="M9" s="128">
        <v>31500</v>
      </c>
    </row>
    <row r="10" spans="2:13" ht="17.399999999999999" x14ac:dyDescent="0.3">
      <c r="B10" s="97" t="s">
        <v>3</v>
      </c>
      <c r="C10" s="278">
        <v>4</v>
      </c>
      <c r="D10" s="16">
        <v>2</v>
      </c>
      <c r="E10" s="16">
        <f>C10*$C$4</f>
        <v>5.2</v>
      </c>
      <c r="F10" s="16">
        <f>D10*$D$4</f>
        <v>3</v>
      </c>
      <c r="G10" s="17">
        <f>E10+F10</f>
        <v>8.1999999999999993</v>
      </c>
      <c r="H10" s="17">
        <f>C10+D10*H4</f>
        <v>4.5999999999999996</v>
      </c>
      <c r="I10" s="10" t="s">
        <v>13</v>
      </c>
    </row>
    <row r="11" spans="2:13" ht="17.399999999999999" x14ac:dyDescent="0.3">
      <c r="B11" s="13" t="s">
        <v>4</v>
      </c>
      <c r="C11" s="34">
        <v>1.2</v>
      </c>
      <c r="D11" s="8"/>
      <c r="E11" s="8">
        <f>C11*D4</f>
        <v>1.7999999999999998</v>
      </c>
      <c r="F11" s="8"/>
      <c r="G11" s="9">
        <f t="shared" ref="G11:G17" si="0">E11+F11</f>
        <v>1.7999999999999998</v>
      </c>
      <c r="H11" s="9">
        <f>C11</f>
        <v>1.2</v>
      </c>
      <c r="I11" s="60" t="s">
        <v>13</v>
      </c>
      <c r="L11" s="6"/>
    </row>
    <row r="12" spans="2:13" ht="17.399999999999999" x14ac:dyDescent="0.3">
      <c r="B12" s="13" t="s">
        <v>5</v>
      </c>
      <c r="C12" s="34">
        <v>4</v>
      </c>
      <c r="D12" s="8">
        <v>4</v>
      </c>
      <c r="E12" s="8">
        <f t="shared" ref="E12:E17" si="1">C12*$C$4</f>
        <v>5.2</v>
      </c>
      <c r="F12" s="8">
        <f t="shared" ref="F12:F13" si="2">D12*$D$4</f>
        <v>6</v>
      </c>
      <c r="G12" s="9">
        <f t="shared" si="0"/>
        <v>11.2</v>
      </c>
      <c r="H12" s="9">
        <f>C12+D12*I4</f>
        <v>6.4</v>
      </c>
      <c r="I12" s="60" t="s">
        <v>13</v>
      </c>
    </row>
    <row r="13" spans="2:13" ht="17.399999999999999" x14ac:dyDescent="0.3">
      <c r="B13" s="13" t="s">
        <v>7</v>
      </c>
      <c r="C13" s="34">
        <v>5</v>
      </c>
      <c r="D13" s="8">
        <v>4</v>
      </c>
      <c r="E13" s="8">
        <f t="shared" si="1"/>
        <v>6.5</v>
      </c>
      <c r="F13" s="8">
        <f t="shared" si="2"/>
        <v>6</v>
      </c>
      <c r="G13" s="9">
        <f t="shared" si="0"/>
        <v>12.5</v>
      </c>
      <c r="H13" s="9">
        <f>C13+D13*I4</f>
        <v>7.4</v>
      </c>
      <c r="I13" s="60" t="s">
        <v>13</v>
      </c>
    </row>
    <row r="14" spans="2:13" ht="30.6" customHeight="1" x14ac:dyDescent="0.3">
      <c r="B14" s="14" t="s">
        <v>115</v>
      </c>
      <c r="C14" s="279">
        <f>0.3*0.7*$M$8</f>
        <v>5.25</v>
      </c>
      <c r="D14" s="8"/>
      <c r="E14" s="8">
        <f t="shared" si="1"/>
        <v>6.8250000000000002</v>
      </c>
      <c r="F14" s="8"/>
      <c r="G14" s="9">
        <f>E14+F14</f>
        <v>6.8250000000000002</v>
      </c>
      <c r="H14" s="9">
        <f>C14+D14</f>
        <v>5.25</v>
      </c>
      <c r="I14" s="60" t="s">
        <v>12</v>
      </c>
    </row>
    <row r="15" spans="2:13" ht="34.200000000000003" customHeight="1" x14ac:dyDescent="0.3">
      <c r="B15" s="14" t="s">
        <v>33</v>
      </c>
      <c r="C15" s="34">
        <v>3</v>
      </c>
      <c r="D15" s="8"/>
      <c r="E15" s="8">
        <f t="shared" si="1"/>
        <v>3.9000000000000004</v>
      </c>
      <c r="F15" s="8"/>
      <c r="G15" s="9">
        <f t="shared" si="0"/>
        <v>3.9000000000000004</v>
      </c>
      <c r="H15" s="9">
        <f t="shared" ref="H15:H16" si="3">C15+D15</f>
        <v>3</v>
      </c>
      <c r="I15" s="60" t="s">
        <v>12</v>
      </c>
      <c r="K15" s="7"/>
    </row>
    <row r="16" spans="2:13" ht="16.2" thickBot="1" x14ac:dyDescent="0.35">
      <c r="B16" s="15" t="s">
        <v>6</v>
      </c>
      <c r="C16" s="12">
        <v>7</v>
      </c>
      <c r="D16" s="8"/>
      <c r="E16" s="8">
        <f t="shared" si="1"/>
        <v>9.1</v>
      </c>
      <c r="F16" s="8"/>
      <c r="G16" s="9">
        <f t="shared" si="0"/>
        <v>9.1</v>
      </c>
      <c r="H16" s="9">
        <f t="shared" si="3"/>
        <v>7</v>
      </c>
      <c r="I16" s="60" t="s">
        <v>12</v>
      </c>
    </row>
    <row r="17" spans="2:9" ht="16.2" thickBot="1" x14ac:dyDescent="0.35">
      <c r="B17" s="98" t="s">
        <v>116</v>
      </c>
      <c r="C17" s="279">
        <f>0.3*0.8*$M$8</f>
        <v>6</v>
      </c>
      <c r="D17" s="277"/>
      <c r="E17" s="277">
        <f t="shared" si="1"/>
        <v>7.8000000000000007</v>
      </c>
      <c r="F17" s="277"/>
      <c r="G17" s="277">
        <f t="shared" si="0"/>
        <v>7.8000000000000007</v>
      </c>
      <c r="H17" s="277">
        <f>C17</f>
        <v>6</v>
      </c>
      <c r="I17" s="60" t="s">
        <v>12</v>
      </c>
    </row>
    <row r="18" spans="2:9" ht="15.6" x14ac:dyDescent="0.3">
      <c r="B18" s="5"/>
      <c r="C18" s="4"/>
    </row>
    <row r="19" spans="2:9" ht="15.6" x14ac:dyDescent="0.3">
      <c r="B19" s="5"/>
    </row>
    <row r="20" spans="2:9" ht="15.6" x14ac:dyDescent="0.3">
      <c r="B20" s="22" t="s">
        <v>26</v>
      </c>
    </row>
    <row r="21" spans="2:9" ht="15.6" x14ac:dyDescent="0.3">
      <c r="B21" s="1"/>
    </row>
    <row r="22" spans="2:9" ht="15.6" x14ac:dyDescent="0.3">
      <c r="B22" s="1"/>
    </row>
  </sheetData>
  <mergeCells count="1">
    <mergeCell ref="C2:D2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4"/>
  <sheetViews>
    <sheetView topLeftCell="A7" zoomScale="90" zoomScaleNormal="90" workbookViewId="0">
      <selection activeCell="I13" sqref="I13"/>
    </sheetView>
  </sheetViews>
  <sheetFormatPr defaultRowHeight="14.4" x14ac:dyDescent="0.3"/>
  <cols>
    <col min="2" max="2" width="12.44140625" customWidth="1"/>
    <col min="5" max="5" width="12.5546875" customWidth="1"/>
    <col min="8" max="8" width="11.33203125" customWidth="1"/>
    <col min="9" max="9" width="8.88671875" customWidth="1"/>
    <col min="11" max="11" width="11.6640625" customWidth="1"/>
    <col min="14" max="14" width="10.88671875" customWidth="1"/>
  </cols>
  <sheetData>
    <row r="2" spans="1:16" ht="16.2" thickBot="1" x14ac:dyDescent="0.35">
      <c r="A2" s="5"/>
      <c r="K2" s="1"/>
      <c r="L2" s="1"/>
      <c r="M2" s="1"/>
      <c r="N2" s="1"/>
      <c r="O2" s="1"/>
      <c r="P2" s="1"/>
    </row>
    <row r="3" spans="1:16" ht="16.2" thickBot="1" x14ac:dyDescent="0.35">
      <c r="A3" s="2"/>
      <c r="B3" s="288" t="s">
        <v>17</v>
      </c>
      <c r="C3" s="289"/>
      <c r="D3" s="289"/>
      <c r="E3" s="289"/>
      <c r="F3" s="289"/>
      <c r="G3" s="289"/>
      <c r="H3" s="289"/>
      <c r="I3" s="289"/>
      <c r="J3" s="290"/>
      <c r="K3" s="1"/>
      <c r="L3" s="1"/>
      <c r="M3" s="1"/>
      <c r="N3" s="1"/>
      <c r="O3" s="1"/>
      <c r="P3" s="1"/>
    </row>
    <row r="4" spans="1:16" ht="31.8" customHeight="1" thickBot="1" x14ac:dyDescent="0.35">
      <c r="A4" s="1"/>
      <c r="B4" s="285" t="s">
        <v>59</v>
      </c>
      <c r="C4" s="286"/>
      <c r="D4" s="287"/>
      <c r="E4" s="285" t="s">
        <v>60</v>
      </c>
      <c r="F4" s="286"/>
      <c r="G4" s="287"/>
      <c r="H4" s="285" t="s">
        <v>117</v>
      </c>
      <c r="I4" s="286"/>
      <c r="J4" s="287"/>
      <c r="K4" s="285" t="s">
        <v>133</v>
      </c>
      <c r="L4" s="286"/>
      <c r="M4" s="287"/>
      <c r="N4" s="282" t="s">
        <v>195</v>
      </c>
      <c r="O4" s="283"/>
      <c r="P4" s="284"/>
    </row>
    <row r="5" spans="1:16" ht="15.6" x14ac:dyDescent="0.3">
      <c r="A5" s="1"/>
      <c r="B5" s="103" t="s">
        <v>18</v>
      </c>
      <c r="C5" s="99">
        <v>4.5</v>
      </c>
      <c r="D5" s="102" t="s">
        <v>32</v>
      </c>
      <c r="E5" s="103" t="s">
        <v>18</v>
      </c>
      <c r="F5" s="99">
        <v>4.55</v>
      </c>
      <c r="G5" s="102" t="s">
        <v>32</v>
      </c>
      <c r="H5" s="261" t="s">
        <v>196</v>
      </c>
      <c r="I5" s="265">
        <f>2.75*1.1</f>
        <v>3.0250000000000004</v>
      </c>
      <c r="J5" s="263" t="s">
        <v>32</v>
      </c>
      <c r="K5" s="103" t="s">
        <v>18</v>
      </c>
      <c r="L5" s="99">
        <v>5</v>
      </c>
      <c r="M5" s="252" t="s">
        <v>32</v>
      </c>
      <c r="N5" s="261" t="s">
        <v>196</v>
      </c>
      <c r="O5" s="262">
        <f>2.1*1.1</f>
        <v>2.3100000000000005</v>
      </c>
      <c r="P5" s="263" t="s">
        <v>32</v>
      </c>
    </row>
    <row r="6" spans="1:16" ht="15.6" x14ac:dyDescent="0.3">
      <c r="A6" s="1"/>
      <c r="B6" s="103" t="s">
        <v>27</v>
      </c>
      <c r="C6" s="100">
        <v>4.8499999999999996</v>
      </c>
      <c r="D6" s="102" t="s">
        <v>32</v>
      </c>
      <c r="E6" s="103" t="s">
        <v>27</v>
      </c>
      <c r="F6" s="100">
        <v>5.6</v>
      </c>
      <c r="G6" s="102" t="s">
        <v>32</v>
      </c>
      <c r="H6" s="264" t="s">
        <v>197</v>
      </c>
      <c r="I6" s="258">
        <f>1.5*1.2</f>
        <v>1.7999999999999998</v>
      </c>
      <c r="J6" s="102" t="s">
        <v>32</v>
      </c>
      <c r="K6" s="103" t="s">
        <v>27</v>
      </c>
      <c r="L6" s="100">
        <v>5.6</v>
      </c>
      <c r="M6" s="252" t="s">
        <v>32</v>
      </c>
      <c r="N6" s="264" t="s">
        <v>197</v>
      </c>
      <c r="O6" s="258">
        <f>1.5*1.2</f>
        <v>1.7999999999999998</v>
      </c>
      <c r="P6" s="102" t="s">
        <v>32</v>
      </c>
    </row>
    <row r="7" spans="1:16" ht="31.2" customHeight="1" x14ac:dyDescent="0.3">
      <c r="A7" s="1"/>
      <c r="B7" s="103" t="s">
        <v>21</v>
      </c>
      <c r="C7" s="101">
        <f>'Carichi unitari'!G10</f>
        <v>8.1999999999999993</v>
      </c>
      <c r="D7" s="104" t="s">
        <v>13</v>
      </c>
      <c r="E7" s="114" t="s">
        <v>34</v>
      </c>
      <c r="F7" s="101">
        <f>'Carichi unitari'!$G$10+'Carichi unitari'!$G$11</f>
        <v>10</v>
      </c>
      <c r="G7" s="104" t="s">
        <v>13</v>
      </c>
      <c r="H7" s="134" t="s">
        <v>200</v>
      </c>
      <c r="I7" s="259">
        <v>5.6</v>
      </c>
      <c r="J7" s="251" t="s">
        <v>32</v>
      </c>
      <c r="K7" s="114" t="s">
        <v>34</v>
      </c>
      <c r="L7" s="101">
        <f>'Carichi unitari'!$G$10+'Carichi unitari'!$G$11</f>
        <v>10</v>
      </c>
      <c r="M7" s="253" t="s">
        <v>13</v>
      </c>
      <c r="N7" s="134" t="s">
        <v>200</v>
      </c>
      <c r="O7" s="259">
        <v>4.7</v>
      </c>
      <c r="P7" s="251" t="s">
        <v>32</v>
      </c>
    </row>
    <row r="8" spans="1:16" ht="31.2" x14ac:dyDescent="0.3">
      <c r="A8" s="1"/>
      <c r="B8" s="103" t="s">
        <v>22</v>
      </c>
      <c r="C8" s="101">
        <f>'Carichi unitari'!G15</f>
        <v>3.9000000000000004</v>
      </c>
      <c r="D8" s="105" t="s">
        <v>12</v>
      </c>
      <c r="E8" s="103" t="s">
        <v>22</v>
      </c>
      <c r="F8" s="101">
        <f>'Carichi unitari'!$G$14</f>
        <v>6.8250000000000002</v>
      </c>
      <c r="G8" s="105" t="s">
        <v>12</v>
      </c>
      <c r="H8" s="250" t="s">
        <v>34</v>
      </c>
      <c r="I8" s="101">
        <f>'Carichi unitari'!$G$10+'Carichi unitari'!$G$11</f>
        <v>10</v>
      </c>
      <c r="J8" s="104" t="s">
        <v>13</v>
      </c>
      <c r="K8" s="103" t="s">
        <v>22</v>
      </c>
      <c r="L8" s="101">
        <f>'Carichi unitari'!$G$14</f>
        <v>6.8250000000000002</v>
      </c>
      <c r="M8" s="254" t="s">
        <v>12</v>
      </c>
      <c r="N8" s="250" t="s">
        <v>34</v>
      </c>
      <c r="O8" s="101">
        <f>'Carichi unitari'!$G$10+'Carichi unitari'!$G$11</f>
        <v>10</v>
      </c>
      <c r="P8" s="104" t="s">
        <v>13</v>
      </c>
    </row>
    <row r="9" spans="1:16" ht="19.2" customHeight="1" x14ac:dyDescent="0.3">
      <c r="A9" s="1"/>
      <c r="B9" s="103" t="s">
        <v>20</v>
      </c>
      <c r="C9" s="101">
        <f>C5*C7+C8</f>
        <v>40.799999999999997</v>
      </c>
      <c r="D9" s="106" t="s">
        <v>12</v>
      </c>
      <c r="E9" s="103" t="s">
        <v>20</v>
      </c>
      <c r="F9" s="101">
        <f>F5*F7+F8</f>
        <v>52.325000000000003</v>
      </c>
      <c r="G9" s="106" t="s">
        <v>12</v>
      </c>
      <c r="H9" s="264" t="s">
        <v>199</v>
      </c>
      <c r="I9" s="260">
        <f>'Carichi unitari'!G12</f>
        <v>11.2</v>
      </c>
      <c r="J9" s="104" t="s">
        <v>13</v>
      </c>
      <c r="K9" s="103" t="s">
        <v>20</v>
      </c>
      <c r="L9" s="101">
        <f>L5*L7+L8</f>
        <v>56.825000000000003</v>
      </c>
      <c r="M9" s="255" t="s">
        <v>12</v>
      </c>
      <c r="N9" s="264" t="s">
        <v>199</v>
      </c>
      <c r="O9" s="260">
        <f>'Carichi unitari'!G12</f>
        <v>11.2</v>
      </c>
      <c r="P9" s="104" t="s">
        <v>13</v>
      </c>
    </row>
    <row r="10" spans="1:16" ht="27" customHeight="1" x14ac:dyDescent="0.3">
      <c r="A10" s="1"/>
      <c r="B10" s="114" t="s">
        <v>94</v>
      </c>
      <c r="C10" s="101">
        <f>C9*C6^2/10</f>
        <v>95.971799999999988</v>
      </c>
      <c r="D10" s="107" t="s">
        <v>29</v>
      </c>
      <c r="E10" s="114" t="s">
        <v>94</v>
      </c>
      <c r="F10" s="101">
        <f>F9*F6^2/10</f>
        <v>164.09119999999999</v>
      </c>
      <c r="G10" s="109" t="s">
        <v>29</v>
      </c>
      <c r="H10" s="249" t="s">
        <v>22</v>
      </c>
      <c r="I10" s="101">
        <f>'Carichi unitari'!$G$14</f>
        <v>6.8250000000000002</v>
      </c>
      <c r="J10" s="105" t="s">
        <v>12</v>
      </c>
      <c r="K10" s="114" t="s">
        <v>94</v>
      </c>
      <c r="L10" s="101">
        <f>L9*L6^2/10</f>
        <v>178.20319999999998</v>
      </c>
      <c r="M10" s="256" t="s">
        <v>29</v>
      </c>
      <c r="N10" s="249" t="s">
        <v>22</v>
      </c>
      <c r="O10" s="101">
        <f>'Carichi unitari'!$G$14</f>
        <v>6.8250000000000002</v>
      </c>
      <c r="P10" s="105" t="s">
        <v>12</v>
      </c>
    </row>
    <row r="11" spans="1:16" ht="28.2" customHeight="1" thickBot="1" x14ac:dyDescent="0.35">
      <c r="A11" s="1"/>
      <c r="B11" s="114" t="s">
        <v>38</v>
      </c>
      <c r="C11" s="101">
        <f>C10*60/100</f>
        <v>57.583079999999988</v>
      </c>
      <c r="D11" s="107" t="s">
        <v>29</v>
      </c>
      <c r="E11" s="116" t="s">
        <v>38</v>
      </c>
      <c r="F11" s="110">
        <f>F10*60/100</f>
        <v>98.454719999999995</v>
      </c>
      <c r="G11" s="112" t="s">
        <v>29</v>
      </c>
      <c r="H11" s="134" t="s">
        <v>198</v>
      </c>
      <c r="I11" s="266">
        <f>'Carichi unitari'!G16</f>
        <v>9.1</v>
      </c>
      <c r="J11" s="267" t="s">
        <v>12</v>
      </c>
      <c r="K11" s="116" t="s">
        <v>38</v>
      </c>
      <c r="L11" s="110">
        <f>L10*60/100</f>
        <v>106.92191999999999</v>
      </c>
      <c r="M11" s="257" t="s">
        <v>29</v>
      </c>
      <c r="N11" s="134" t="s">
        <v>198</v>
      </c>
      <c r="O11" s="266">
        <f>'Carichi unitari'!G16</f>
        <v>9.1</v>
      </c>
      <c r="P11" s="105" t="s">
        <v>12</v>
      </c>
    </row>
    <row r="12" spans="1:16" ht="15.6" x14ac:dyDescent="0.3">
      <c r="A12" s="1"/>
      <c r="B12" s="103" t="s">
        <v>28</v>
      </c>
      <c r="C12" s="101">
        <v>0.02</v>
      </c>
      <c r="D12" s="108"/>
      <c r="E12" s="69" t="s">
        <v>28</v>
      </c>
      <c r="F12" s="70">
        <v>0.02</v>
      </c>
      <c r="G12" s="71"/>
      <c r="H12" s="249" t="s">
        <v>20</v>
      </c>
      <c r="I12" s="101">
        <f>I5*I8+I6*I9+I10+I11</f>
        <v>66.334999999999994</v>
      </c>
      <c r="J12" s="106" t="s">
        <v>12</v>
      </c>
      <c r="K12" s="1"/>
      <c r="L12" s="1"/>
      <c r="M12" s="1"/>
      <c r="N12" s="249" t="s">
        <v>20</v>
      </c>
      <c r="O12" s="101">
        <f>O5*O8+O6*O9+O10+O11</f>
        <v>59.185000000000009</v>
      </c>
      <c r="P12" s="106" t="s">
        <v>12</v>
      </c>
    </row>
    <row r="13" spans="1:16" ht="31.2" x14ac:dyDescent="0.3">
      <c r="A13" s="1"/>
      <c r="B13" s="103" t="s">
        <v>30</v>
      </c>
      <c r="C13" s="101">
        <f>'Carichi unitari'!M3-0.04</f>
        <v>0.19999999999999998</v>
      </c>
      <c r="D13" s="109" t="s">
        <v>32</v>
      </c>
      <c r="E13" s="69" t="s">
        <v>30</v>
      </c>
      <c r="F13" s="70">
        <f>F12*SQRT(F10/0.3)</f>
        <v>0.46774808034525023</v>
      </c>
      <c r="G13" s="71" t="s">
        <v>32</v>
      </c>
      <c r="H13" s="114" t="s">
        <v>94</v>
      </c>
      <c r="I13" s="101">
        <f>I12*I7^2/10</f>
        <v>208.02655999999996</v>
      </c>
      <c r="J13" s="109" t="s">
        <v>29</v>
      </c>
      <c r="K13" s="1"/>
      <c r="L13" s="1"/>
      <c r="M13" s="1"/>
      <c r="N13" s="114" t="s">
        <v>94</v>
      </c>
      <c r="O13" s="101">
        <f>O12*O7^2/10</f>
        <v>130.73966500000003</v>
      </c>
      <c r="P13" s="109" t="s">
        <v>29</v>
      </c>
    </row>
    <row r="14" spans="1:16" ht="31.8" thickBot="1" x14ac:dyDescent="0.35">
      <c r="A14" s="1"/>
      <c r="B14" s="115" t="s">
        <v>39</v>
      </c>
      <c r="C14" s="110">
        <f>((C12^2*C10)/C13^2)*100</f>
        <v>95.971800000000002</v>
      </c>
      <c r="D14" s="111" t="s">
        <v>42</v>
      </c>
      <c r="E14" s="69" t="s">
        <v>40</v>
      </c>
      <c r="F14" s="73">
        <f>_xlfn.CEILING.MATH((F13+'Carichi unitari'!M7)*100,10)</f>
        <v>60</v>
      </c>
      <c r="G14" s="69" t="s">
        <v>42</v>
      </c>
      <c r="H14" s="116" t="s">
        <v>38</v>
      </c>
      <c r="I14" s="110">
        <f>I13*60/100</f>
        <v>124.81593599999998</v>
      </c>
      <c r="J14" s="112" t="s">
        <v>29</v>
      </c>
      <c r="K14" s="1"/>
      <c r="L14" s="1"/>
      <c r="M14" s="1"/>
      <c r="N14" s="116" t="s">
        <v>38</v>
      </c>
      <c r="O14" s="110">
        <f>O13*60/100</f>
        <v>78.443799000000013</v>
      </c>
      <c r="P14" s="112" t="s">
        <v>29</v>
      </c>
    </row>
    <row r="15" spans="1:16" ht="15.6" x14ac:dyDescent="0.3">
      <c r="A15" s="1"/>
      <c r="B15" s="1"/>
      <c r="C15" s="1"/>
      <c r="D15" s="1"/>
      <c r="E15" s="1"/>
      <c r="F15" s="1"/>
      <c r="G15" s="1"/>
      <c r="H15" s="69" t="s">
        <v>28</v>
      </c>
      <c r="I15" s="70">
        <v>0.02</v>
      </c>
      <c r="J15" s="72"/>
      <c r="K15" s="1"/>
      <c r="L15" s="1"/>
      <c r="M15" s="1"/>
    </row>
    <row r="16" spans="1:16" ht="15.6" x14ac:dyDescent="0.3">
      <c r="A16" s="1"/>
      <c r="E16" s="1"/>
      <c r="F16" s="1"/>
      <c r="G16" s="1"/>
      <c r="H16" s="69" t="s">
        <v>30</v>
      </c>
      <c r="I16" s="70">
        <f>I15*SQRT(I11/0.3)</f>
        <v>0.11015141094572205</v>
      </c>
      <c r="J16" s="69"/>
      <c r="K16" s="1"/>
      <c r="L16" s="1"/>
      <c r="M16" s="1"/>
    </row>
    <row r="17" spans="1:16" ht="15.6" x14ac:dyDescent="0.3">
      <c r="A17" s="1"/>
      <c r="B17" s="1"/>
      <c r="C17" s="1"/>
      <c r="D17" s="1"/>
      <c r="E17" s="1"/>
      <c r="F17" s="1"/>
      <c r="G17" s="1"/>
      <c r="H17" s="69" t="s">
        <v>40</v>
      </c>
      <c r="I17" s="73">
        <f>_xlfn.CEILING.MATH((I16+'Carichi unitari'!Q7)*100,10)</f>
        <v>20</v>
      </c>
      <c r="J17" s="69" t="s">
        <v>42</v>
      </c>
      <c r="K17" s="1"/>
      <c r="L17" s="1"/>
      <c r="M17" s="1"/>
    </row>
    <row r="18" spans="1:16" ht="15.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6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6" ht="15.6" x14ac:dyDescent="0.3">
      <c r="A20" s="1"/>
      <c r="B20" s="1"/>
      <c r="C20" s="1"/>
      <c r="D20" s="1"/>
      <c r="E20" s="1"/>
      <c r="F20" s="20"/>
      <c r="G20" s="1"/>
      <c r="H20" s="1"/>
      <c r="I20" s="1"/>
      <c r="J20" s="1"/>
      <c r="K20" s="1"/>
      <c r="L20" s="1"/>
      <c r="M20" s="1"/>
    </row>
    <row r="21" spans="1:16" ht="15.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6" ht="15.6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6" ht="15.6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.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6" x14ac:dyDescent="0.3">
      <c r="A25" s="1"/>
      <c r="B25" s="20" t="s">
        <v>19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6">
    <mergeCell ref="N4:P4"/>
    <mergeCell ref="B4:D4"/>
    <mergeCell ref="E4:G4"/>
    <mergeCell ref="H4:J4"/>
    <mergeCell ref="B3:J3"/>
    <mergeCell ref="K4:M4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9"/>
  <sheetViews>
    <sheetView topLeftCell="K1" zoomScale="110" zoomScaleNormal="110" workbookViewId="0">
      <selection activeCell="R9" sqref="R9"/>
    </sheetView>
  </sheetViews>
  <sheetFormatPr defaultRowHeight="14.4" x14ac:dyDescent="0.3"/>
  <cols>
    <col min="1" max="1" width="3.44140625" customWidth="1"/>
    <col min="2" max="2" width="12.5546875" customWidth="1"/>
    <col min="4" max="4" width="12.109375" customWidth="1"/>
    <col min="5" max="5" width="10.5546875" customWidth="1"/>
    <col min="6" max="6" width="3" customWidth="1"/>
    <col min="7" max="7" width="12.21875" customWidth="1"/>
    <col min="9" max="9" width="11" customWidth="1"/>
    <col min="10" max="10" width="10.77734375" customWidth="1"/>
    <col min="11" max="11" width="2.21875" customWidth="1"/>
    <col min="12" max="12" width="11.6640625" customWidth="1"/>
    <col min="13" max="13" width="9.88671875" customWidth="1"/>
    <col min="14" max="14" width="10.6640625" customWidth="1"/>
    <col min="15" max="15" width="11.21875" customWidth="1"/>
    <col min="16" max="16" width="3.21875" customWidth="1"/>
    <col min="17" max="17" width="12.33203125" customWidth="1"/>
    <col min="19" max="19" width="10.77734375" customWidth="1"/>
    <col min="20" max="20" width="10.5546875" customWidth="1"/>
  </cols>
  <sheetData>
    <row r="1" spans="2:20" ht="16.2" thickBot="1" x14ac:dyDescent="0.35">
      <c r="B1" s="1"/>
    </row>
    <row r="2" spans="2:20" ht="15" thickBot="1" x14ac:dyDescent="0.35">
      <c r="B2" s="291" t="s">
        <v>35</v>
      </c>
      <c r="C2" s="292"/>
      <c r="D2" s="292"/>
      <c r="E2" s="293"/>
      <c r="G2" s="291" t="s">
        <v>43</v>
      </c>
      <c r="H2" s="292"/>
      <c r="I2" s="292"/>
      <c r="J2" s="293"/>
      <c r="L2" s="291" t="s">
        <v>52</v>
      </c>
      <c r="M2" s="292"/>
      <c r="N2" s="292"/>
      <c r="O2" s="293"/>
      <c r="Q2" s="291" t="s">
        <v>194</v>
      </c>
      <c r="R2" s="292"/>
      <c r="S2" s="292"/>
      <c r="T2" s="293"/>
    </row>
    <row r="3" spans="2:20" ht="14.4" customHeight="1" x14ac:dyDescent="0.3">
      <c r="B3" s="24"/>
      <c r="C3" s="294" t="s">
        <v>53</v>
      </c>
      <c r="D3" s="296" t="s">
        <v>48</v>
      </c>
      <c r="E3" s="298" t="s">
        <v>49</v>
      </c>
      <c r="G3" s="33"/>
      <c r="H3" s="304" t="s">
        <v>53</v>
      </c>
      <c r="I3" s="305" t="s">
        <v>48</v>
      </c>
      <c r="J3" s="306" t="s">
        <v>49</v>
      </c>
      <c r="L3" s="24"/>
      <c r="M3" s="294" t="s">
        <v>53</v>
      </c>
      <c r="N3" s="296" t="s">
        <v>48</v>
      </c>
      <c r="O3" s="298" t="s">
        <v>49</v>
      </c>
      <c r="Q3" s="33"/>
      <c r="R3" s="304" t="s">
        <v>53</v>
      </c>
      <c r="S3" s="305" t="s">
        <v>48</v>
      </c>
      <c r="T3" s="306" t="s">
        <v>49</v>
      </c>
    </row>
    <row r="4" spans="2:20" ht="15" thickBot="1" x14ac:dyDescent="0.35">
      <c r="B4" s="24"/>
      <c r="C4" s="295"/>
      <c r="D4" s="297"/>
      <c r="E4" s="299"/>
      <c r="G4" s="24"/>
      <c r="H4" s="295"/>
      <c r="I4" s="297"/>
      <c r="J4" s="299"/>
      <c r="L4" s="24"/>
      <c r="M4" s="295"/>
      <c r="N4" s="297"/>
      <c r="O4" s="299"/>
      <c r="Q4" s="24"/>
      <c r="R4" s="295"/>
      <c r="S4" s="297"/>
      <c r="T4" s="299"/>
    </row>
    <row r="5" spans="2:20" x14ac:dyDescent="0.3">
      <c r="B5" s="28" t="s">
        <v>44</v>
      </c>
      <c r="C5" s="25">
        <v>26</v>
      </c>
      <c r="D5" s="26">
        <f>C5*('Carichi unitari'!$G$10+'Carichi unitari'!G11)</f>
        <v>260</v>
      </c>
      <c r="E5" s="27">
        <f>C5*('Carichi unitari'!$H$10+'Carichi unitari'!H11)</f>
        <v>150.79999999999998</v>
      </c>
      <c r="G5" s="28" t="s">
        <v>44</v>
      </c>
      <c r="H5" s="25">
        <f>16</f>
        <v>16</v>
      </c>
      <c r="I5" s="75">
        <f>H5*('Carichi unitari'!$G$10)</f>
        <v>131.19999999999999</v>
      </c>
      <c r="J5" s="76">
        <f>H5*('Carichi unitari'!$H$10)</f>
        <v>73.599999999999994</v>
      </c>
      <c r="L5" s="28" t="s">
        <v>44</v>
      </c>
      <c r="M5" s="25">
        <v>21</v>
      </c>
      <c r="N5" s="75">
        <f>M5*('Carichi unitari'!$G$10)</f>
        <v>172.2</v>
      </c>
      <c r="O5" s="76">
        <f>M5*('Carichi unitari'!$H$10)</f>
        <v>96.6</v>
      </c>
      <c r="Q5" s="28" t="s">
        <v>44</v>
      </c>
      <c r="R5" s="280">
        <v>4</v>
      </c>
      <c r="S5" s="75">
        <f>R5*('Carichi unitari'!$G$10)</f>
        <v>32.799999999999997</v>
      </c>
      <c r="T5" s="76">
        <f>R5*('Carichi unitari'!$H$10)</f>
        <v>18.399999999999999</v>
      </c>
    </row>
    <row r="6" spans="2:20" x14ac:dyDescent="0.3">
      <c r="B6" s="29" t="s">
        <v>57</v>
      </c>
      <c r="C6" s="25">
        <v>8.5</v>
      </c>
      <c r="D6" s="31">
        <f>C6*'Carichi unitari'!G14</f>
        <v>58.012500000000003</v>
      </c>
      <c r="E6" s="32">
        <f>C6*'Carichi unitari'!H14</f>
        <v>44.625</v>
      </c>
      <c r="G6" s="29" t="s">
        <v>47</v>
      </c>
      <c r="H6" s="25">
        <f>4</f>
        <v>4</v>
      </c>
      <c r="I6" s="75">
        <f>H6*'Carichi unitari'!G12</f>
        <v>44.8</v>
      </c>
      <c r="J6" s="76">
        <f>H6*'Carichi unitari'!H12</f>
        <v>25.6</v>
      </c>
      <c r="L6" s="29" t="s">
        <v>45</v>
      </c>
      <c r="M6" s="25">
        <v>7</v>
      </c>
      <c r="N6" s="75">
        <f>M6*'Carichi unitari'!G13</f>
        <v>87.5</v>
      </c>
      <c r="O6" s="76">
        <f>M6*'Carichi unitari'!H13</f>
        <v>51.800000000000004</v>
      </c>
      <c r="Q6" s="29" t="s">
        <v>47</v>
      </c>
      <c r="R6" s="25"/>
      <c r="S6" s="75">
        <f>R6*'Carichi unitari'!G12</f>
        <v>0</v>
      </c>
      <c r="T6" s="76">
        <f>R6*'Carichi unitari'!H12</f>
        <v>0</v>
      </c>
    </row>
    <row r="7" spans="2:20" x14ac:dyDescent="0.3">
      <c r="B7" s="29" t="s">
        <v>204</v>
      </c>
      <c r="C7" s="25">
        <v>2</v>
      </c>
      <c r="D7" s="31" t="e">
        <f>C7*'Carichi unitari'!#REF!</f>
        <v>#REF!</v>
      </c>
      <c r="E7" s="32" t="e">
        <f>C7*'Carichi unitari'!#REF!</f>
        <v>#REF!</v>
      </c>
      <c r="G7" s="29" t="s">
        <v>46</v>
      </c>
      <c r="H7" s="25">
        <v>5</v>
      </c>
      <c r="I7" s="75">
        <f>H7*'Carichi unitari'!G16</f>
        <v>45.5</v>
      </c>
      <c r="J7" s="76">
        <f>H7*'Carichi unitari'!H16</f>
        <v>35</v>
      </c>
      <c r="L7" s="29" t="s">
        <v>46</v>
      </c>
      <c r="M7" s="25">
        <v>7</v>
      </c>
      <c r="N7" s="75">
        <f>M7*'Carichi unitari'!G16</f>
        <v>63.699999999999996</v>
      </c>
      <c r="O7" s="76">
        <f>M7*'Carichi unitari'!H16</f>
        <v>49</v>
      </c>
      <c r="Q7" s="29" t="s">
        <v>46</v>
      </c>
      <c r="R7" s="25">
        <v>4</v>
      </c>
      <c r="S7" s="75">
        <f>R7*'Carichi unitari'!G16</f>
        <v>36.4</v>
      </c>
      <c r="T7" s="76">
        <f>R7*'Carichi unitari'!G16</f>
        <v>36.4</v>
      </c>
    </row>
    <row r="8" spans="2:20" x14ac:dyDescent="0.3">
      <c r="B8" s="29" t="s">
        <v>58</v>
      </c>
      <c r="C8" s="25">
        <f>'Carichi unitari'!$M$4</f>
        <v>3.2</v>
      </c>
      <c r="D8" s="31">
        <f>C8*'Carichi unitari'!G17</f>
        <v>24.960000000000004</v>
      </c>
      <c r="E8" s="32">
        <f>C8*'Carichi unitari'!H17</f>
        <v>19.200000000000003</v>
      </c>
      <c r="G8" s="77" t="s">
        <v>57</v>
      </c>
      <c r="H8" s="25">
        <v>5</v>
      </c>
      <c r="I8" s="75">
        <f>H8*'Carichi unitari'!G14</f>
        <v>34.125</v>
      </c>
      <c r="J8" s="76">
        <f>H8*'Carichi unitari'!H14</f>
        <v>26.25</v>
      </c>
      <c r="L8" s="29" t="s">
        <v>203</v>
      </c>
      <c r="M8" s="25">
        <v>10</v>
      </c>
      <c r="N8" s="75">
        <f>M8*'Carichi unitari'!$G$14</f>
        <v>68.25</v>
      </c>
      <c r="O8" s="76">
        <f>M8*'Carichi unitari'!$H$14</f>
        <v>52.5</v>
      </c>
      <c r="Q8" s="29" t="s">
        <v>202</v>
      </c>
      <c r="R8" s="25">
        <v>4</v>
      </c>
      <c r="S8" s="75">
        <f>R8*'Carichi unitari'!G14</f>
        <v>27.3</v>
      </c>
      <c r="T8" s="76">
        <f>R8*'Carichi unitari'!H14</f>
        <v>21</v>
      </c>
    </row>
    <row r="9" spans="2:20" ht="17.399999999999999" customHeight="1" x14ac:dyDescent="0.3">
      <c r="B9" s="312" t="s">
        <v>36</v>
      </c>
      <c r="C9" s="313"/>
      <c r="D9" s="302" t="e">
        <f>D5+D7+D6+D8</f>
        <v>#REF!</v>
      </c>
      <c r="E9" s="303" t="e">
        <f>E5+E7+E6+E8</f>
        <v>#REF!</v>
      </c>
      <c r="G9" s="29" t="s">
        <v>58</v>
      </c>
      <c r="H9" s="25">
        <f>'Carichi unitari'!$M$4</f>
        <v>3.2</v>
      </c>
      <c r="I9" s="75">
        <f>H9*'Carichi unitari'!$G$17</f>
        <v>24.960000000000004</v>
      </c>
      <c r="J9" s="76">
        <f>H9*'Carichi unitari'!$H$17</f>
        <v>19.200000000000003</v>
      </c>
      <c r="L9" s="29" t="s">
        <v>58</v>
      </c>
      <c r="M9" s="25">
        <f>'Carichi unitari'!$M$4</f>
        <v>3.2</v>
      </c>
      <c r="N9" s="75">
        <f>M9*'Carichi unitari'!$G$17</f>
        <v>24.960000000000004</v>
      </c>
      <c r="O9" s="76">
        <f>M9*'Carichi unitari'!$H$17</f>
        <v>19.200000000000003</v>
      </c>
      <c r="Q9" s="29" t="s">
        <v>58</v>
      </c>
      <c r="R9" s="25">
        <f>'Carichi unitari'!$M$4</f>
        <v>3.2</v>
      </c>
      <c r="S9" s="75">
        <f>R9*'Carichi unitari'!$G$17</f>
        <v>24.960000000000004</v>
      </c>
      <c r="T9" s="76">
        <f>R9*'Carichi unitari'!$H$17</f>
        <v>19.200000000000003</v>
      </c>
    </row>
    <row r="10" spans="2:20" ht="15" customHeight="1" x14ac:dyDescent="0.3">
      <c r="B10" s="312"/>
      <c r="C10" s="313"/>
      <c r="D10" s="302"/>
      <c r="E10" s="303"/>
      <c r="G10" s="312" t="s">
        <v>36</v>
      </c>
      <c r="H10" s="308"/>
      <c r="I10" s="302">
        <f>I5+I6+I7+I8+I9</f>
        <v>280.58499999999998</v>
      </c>
      <c r="J10" s="303">
        <f>J5+J6+J7+J8+J9</f>
        <v>179.64999999999998</v>
      </c>
      <c r="L10" s="300" t="s">
        <v>36</v>
      </c>
      <c r="M10" s="301"/>
      <c r="N10" s="302">
        <f>N5+N6+N7+N8+N9</f>
        <v>416.60999999999996</v>
      </c>
      <c r="O10" s="303">
        <f>O5+O6+O7+O8+O9</f>
        <v>269.10000000000002</v>
      </c>
      <c r="Q10" s="300" t="s">
        <v>36</v>
      </c>
      <c r="R10" s="301"/>
      <c r="S10" s="302">
        <f>S5+S6+S7+S8+S9</f>
        <v>121.46</v>
      </c>
      <c r="T10" s="303">
        <f>T5+T6+T7+T8+T9</f>
        <v>95</v>
      </c>
    </row>
    <row r="11" spans="2:20" ht="15.6" customHeight="1" x14ac:dyDescent="0.3">
      <c r="B11" s="300" t="s">
        <v>50</v>
      </c>
      <c r="C11" s="308"/>
      <c r="D11" s="302" t="e">
        <f>D9*'Carichi unitari'!$M$6</f>
        <v>#REF!</v>
      </c>
      <c r="E11" s="303" t="e">
        <f>E9*'Carichi unitari'!$M$6</f>
        <v>#REF!</v>
      </c>
      <c r="G11" s="312"/>
      <c r="H11" s="308"/>
      <c r="I11" s="302"/>
      <c r="J11" s="303"/>
      <c r="L11" s="300"/>
      <c r="M11" s="301"/>
      <c r="N11" s="302"/>
      <c r="O11" s="303"/>
      <c r="Q11" s="300"/>
      <c r="R11" s="301"/>
      <c r="S11" s="302"/>
      <c r="T11" s="303"/>
    </row>
    <row r="12" spans="2:20" ht="14.4" customHeight="1" thickBot="1" x14ac:dyDescent="0.35">
      <c r="B12" s="307"/>
      <c r="C12" s="309"/>
      <c r="D12" s="310"/>
      <c r="E12" s="311"/>
      <c r="G12" s="300" t="s">
        <v>50</v>
      </c>
      <c r="H12" s="301"/>
      <c r="I12" s="302">
        <f>(I10)*'Carichi unitari'!$M$6</f>
        <v>1683.5099999999998</v>
      </c>
      <c r="J12" s="303">
        <f>(J10)*'Carichi unitari'!$M$6</f>
        <v>1077.8999999999999</v>
      </c>
      <c r="L12" s="300" t="s">
        <v>50</v>
      </c>
      <c r="M12" s="301"/>
      <c r="N12" s="302">
        <f>(N10)*'Carichi unitari'!$M$6</f>
        <v>2499.66</v>
      </c>
      <c r="O12" s="303">
        <f>(O10)*'Carichi unitari'!$M$6</f>
        <v>1614.6000000000001</v>
      </c>
      <c r="Q12" s="300" t="s">
        <v>50</v>
      </c>
      <c r="R12" s="301"/>
      <c r="S12" s="302">
        <f>S10*'Carichi unitari'!$M$6</f>
        <v>728.76</v>
      </c>
      <c r="T12" s="303">
        <f>(T10)*'Carichi unitari'!$M$6</f>
        <v>570</v>
      </c>
    </row>
    <row r="13" spans="2:20" ht="15" thickBot="1" x14ac:dyDescent="0.35">
      <c r="G13" s="307"/>
      <c r="H13" s="314"/>
      <c r="I13" s="310"/>
      <c r="J13" s="311"/>
      <c r="L13" s="307"/>
      <c r="M13" s="314"/>
      <c r="N13" s="310"/>
      <c r="O13" s="311"/>
      <c r="Q13" s="307"/>
      <c r="R13" s="314"/>
      <c r="S13" s="310"/>
      <c r="T13" s="311"/>
    </row>
    <row r="14" spans="2:20" x14ac:dyDescent="0.3">
      <c r="G14" s="117"/>
      <c r="H14" s="78"/>
      <c r="I14" s="75"/>
      <c r="J14" s="75"/>
      <c r="L14" s="117"/>
      <c r="M14" s="78"/>
      <c r="N14" s="75"/>
      <c r="O14" s="75"/>
      <c r="P14" s="118"/>
      <c r="Q14" s="117"/>
      <c r="R14" s="78"/>
      <c r="S14" s="75"/>
      <c r="T14" s="75"/>
    </row>
    <row r="15" spans="2:20" ht="14.4" customHeight="1" x14ac:dyDescent="0.35">
      <c r="B15" s="30" t="s">
        <v>54</v>
      </c>
      <c r="C15" s="21">
        <f>'Carichi unitari'!$M$8</f>
        <v>25</v>
      </c>
      <c r="G15" s="30" t="s">
        <v>54</v>
      </c>
      <c r="H15" s="21">
        <f>'Carichi unitari'!$M$8</f>
        <v>25</v>
      </c>
      <c r="L15" s="30" t="s">
        <v>54</v>
      </c>
      <c r="M15" s="21">
        <f>'Carichi unitari'!$M$8</f>
        <v>25</v>
      </c>
      <c r="Q15" s="30" t="s">
        <v>54</v>
      </c>
      <c r="R15" s="21">
        <f>'Carichi unitari'!$M$8</f>
        <v>25</v>
      </c>
    </row>
    <row r="16" spans="2:20" ht="15.6" x14ac:dyDescent="0.35">
      <c r="B16" s="30" t="s">
        <v>55</v>
      </c>
      <c r="C16" s="23">
        <f>0.85*C15/1.5</f>
        <v>14.166666666666666</v>
      </c>
      <c r="G16" s="30" t="s">
        <v>55</v>
      </c>
      <c r="H16" s="23">
        <f>0.85*H15/1.5</f>
        <v>14.166666666666666</v>
      </c>
      <c r="L16" s="30" t="s">
        <v>55</v>
      </c>
      <c r="M16" s="23">
        <f>0.85*M15/1.5</f>
        <v>14.166666666666666</v>
      </c>
      <c r="Q16" s="30" t="s">
        <v>55</v>
      </c>
      <c r="R16" s="23">
        <f>0.85*R15/1.5</f>
        <v>14.166666666666666</v>
      </c>
    </row>
    <row r="17" spans="2:18" ht="16.8" x14ac:dyDescent="0.45">
      <c r="B17" s="35" t="s">
        <v>56</v>
      </c>
      <c r="C17" s="23">
        <f>0.4*C16/10</f>
        <v>0.56666666666666665</v>
      </c>
      <c r="D17" s="21"/>
      <c r="E17" s="21"/>
      <c r="G17" s="35" t="s">
        <v>56</v>
      </c>
      <c r="H17" s="23">
        <f>0.4*H16/10</f>
        <v>0.56666666666666665</v>
      </c>
      <c r="L17" s="35" t="s">
        <v>56</v>
      </c>
      <c r="M17" s="23">
        <f>0.4*M16/10</f>
        <v>0.56666666666666665</v>
      </c>
      <c r="Q17" s="35" t="s">
        <v>56</v>
      </c>
      <c r="R17" s="23">
        <f>0.35*R16/10</f>
        <v>0.49583333333333329</v>
      </c>
    </row>
    <row r="18" spans="2:18" x14ac:dyDescent="0.3">
      <c r="B18" s="30" t="s">
        <v>51</v>
      </c>
      <c r="C18" s="23" t="e">
        <f>E11/C17</f>
        <v>#REF!</v>
      </c>
      <c r="G18" s="30" t="s">
        <v>51</v>
      </c>
      <c r="H18" s="23">
        <f>J12/H17</f>
        <v>1902.1764705882351</v>
      </c>
      <c r="L18" s="30" t="s">
        <v>51</v>
      </c>
      <c r="M18">
        <f>O12/M17</f>
        <v>2849.294117647059</v>
      </c>
      <c r="Q18" s="30" t="s">
        <v>51</v>
      </c>
      <c r="R18">
        <f>T12/R17</f>
        <v>1149.5798319327732</v>
      </c>
    </row>
    <row r="19" spans="2:18" x14ac:dyDescent="0.3">
      <c r="B19" s="30" t="s">
        <v>40</v>
      </c>
      <c r="C19" s="23" t="e">
        <f>C18/30</f>
        <v>#REF!</v>
      </c>
      <c r="G19" s="30" t="s">
        <v>40</v>
      </c>
      <c r="H19" s="23">
        <f>H18/30</f>
        <v>63.40588235294117</v>
      </c>
      <c r="L19" s="30" t="s">
        <v>40</v>
      </c>
      <c r="M19">
        <f>M18/30</f>
        <v>94.976470588235301</v>
      </c>
      <c r="Q19" s="30" t="s">
        <v>40</v>
      </c>
      <c r="R19">
        <f>R18/30</f>
        <v>38.319327731092443</v>
      </c>
    </row>
  </sheetData>
  <mergeCells count="48">
    <mergeCell ref="G10:G11"/>
    <mergeCell ref="H10:H11"/>
    <mergeCell ref="I10:I11"/>
    <mergeCell ref="J10:J11"/>
    <mergeCell ref="Q12:Q13"/>
    <mergeCell ref="G12:G13"/>
    <mergeCell ref="H12:H13"/>
    <mergeCell ref="I12:I13"/>
    <mergeCell ref="J12:J13"/>
    <mergeCell ref="L12:L13"/>
    <mergeCell ref="M12:M13"/>
    <mergeCell ref="N12:N13"/>
    <mergeCell ref="O12:O13"/>
    <mergeCell ref="R12:R13"/>
    <mergeCell ref="S12:S13"/>
    <mergeCell ref="T12:T13"/>
    <mergeCell ref="Q2:T2"/>
    <mergeCell ref="R3:R4"/>
    <mergeCell ref="S3:S4"/>
    <mergeCell ref="T3:T4"/>
    <mergeCell ref="Q10:Q11"/>
    <mergeCell ref="R10:R11"/>
    <mergeCell ref="S10:S11"/>
    <mergeCell ref="T10:T11"/>
    <mergeCell ref="G2:J2"/>
    <mergeCell ref="H3:H4"/>
    <mergeCell ref="I3:I4"/>
    <mergeCell ref="J3:J4"/>
    <mergeCell ref="B11:B12"/>
    <mergeCell ref="C11:C12"/>
    <mergeCell ref="D11:D12"/>
    <mergeCell ref="E11:E12"/>
    <mergeCell ref="B2:E2"/>
    <mergeCell ref="C3:C4"/>
    <mergeCell ref="D3:D4"/>
    <mergeCell ref="E3:E4"/>
    <mergeCell ref="B9:B10"/>
    <mergeCell ref="C9:C10"/>
    <mergeCell ref="D9:D10"/>
    <mergeCell ref="E9:E10"/>
    <mergeCell ref="L2:O2"/>
    <mergeCell ref="M3:M4"/>
    <mergeCell ref="N3:N4"/>
    <mergeCell ref="O3:O4"/>
    <mergeCell ref="L10:L11"/>
    <mergeCell ref="M10:M11"/>
    <mergeCell ref="N10:N11"/>
    <mergeCell ref="O10:O11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"/>
  <sheetViews>
    <sheetView zoomScale="110" zoomScaleNormal="110" workbookViewId="0">
      <selection activeCell="M11" sqref="M11:M12"/>
    </sheetView>
  </sheetViews>
  <sheetFormatPr defaultRowHeight="14.4" x14ac:dyDescent="0.3"/>
  <cols>
    <col min="1" max="1" width="9.33203125" customWidth="1"/>
    <col min="2" max="2" width="10.109375" customWidth="1"/>
    <col min="3" max="3" width="9.44140625" customWidth="1"/>
    <col min="4" max="4" width="9.6640625" customWidth="1"/>
    <col min="5" max="5" width="10.6640625" customWidth="1"/>
    <col min="6" max="6" width="9.5546875" customWidth="1"/>
    <col min="7" max="7" width="9.44140625" customWidth="1"/>
    <col min="9" max="9" width="8.77734375" customWidth="1"/>
    <col min="10" max="10" width="9.5546875" bestFit="1" customWidth="1"/>
  </cols>
  <sheetData>
    <row r="1" spans="1:12" ht="15" thickBot="1" x14ac:dyDescent="0.35"/>
    <row r="2" spans="1:12" ht="15" customHeight="1" thickBot="1" x14ac:dyDescent="0.35">
      <c r="B2" s="325" t="s">
        <v>61</v>
      </c>
      <c r="C2" s="327" t="s">
        <v>70</v>
      </c>
      <c r="D2" s="327" t="s">
        <v>62</v>
      </c>
      <c r="E2" s="327" t="s">
        <v>63</v>
      </c>
      <c r="F2" s="315" t="s">
        <v>64</v>
      </c>
      <c r="H2" s="319" t="s">
        <v>74</v>
      </c>
      <c r="I2" s="320"/>
      <c r="J2" s="322" t="s">
        <v>86</v>
      </c>
    </row>
    <row r="3" spans="1:12" ht="19.2" customHeight="1" thickBot="1" x14ac:dyDescent="0.35">
      <c r="B3" s="326"/>
      <c r="C3" s="328"/>
      <c r="D3" s="328"/>
      <c r="E3" s="328"/>
      <c r="F3" s="316"/>
      <c r="H3" s="44" t="s">
        <v>73</v>
      </c>
      <c r="I3" s="55" t="s">
        <v>72</v>
      </c>
      <c r="J3" s="323"/>
      <c r="K3" s="56" t="s">
        <v>76</v>
      </c>
      <c r="L3" s="47" t="s">
        <v>75</v>
      </c>
    </row>
    <row r="4" spans="1:12" ht="15" thickBot="1" x14ac:dyDescent="0.35">
      <c r="B4" s="37">
        <v>344</v>
      </c>
      <c r="C4" s="272">
        <v>344</v>
      </c>
      <c r="D4" s="37">
        <v>415</v>
      </c>
      <c r="E4" s="54">
        <v>380</v>
      </c>
      <c r="F4" s="37">
        <v>25</v>
      </c>
      <c r="H4" s="41">
        <f>19.6</f>
        <v>19.600000000000001</v>
      </c>
      <c r="I4" s="57">
        <f>0.075*H4^(3/4)</f>
        <v>0.69863979048361513</v>
      </c>
      <c r="J4" s="59" t="s">
        <v>141</v>
      </c>
      <c r="K4" s="58">
        <f>IF(J4="A",0.091,0.135)</f>
        <v>0.13500000000000001</v>
      </c>
      <c r="L4" s="46">
        <f>0.85*F15*K4</f>
        <v>2717.8537500000002</v>
      </c>
    </row>
    <row r="5" spans="1:12" x14ac:dyDescent="0.3">
      <c r="A5" s="321"/>
      <c r="B5" s="276">
        <v>5</v>
      </c>
      <c r="C5" s="276"/>
      <c r="D5" s="276">
        <v>5.6</v>
      </c>
      <c r="E5" s="43">
        <v>5.26</v>
      </c>
      <c r="F5" s="276"/>
    </row>
    <row r="6" spans="1:12" ht="15" thickBot="1" x14ac:dyDescent="0.35">
      <c r="A6" s="321"/>
      <c r="B6" s="276">
        <v>6.9</v>
      </c>
      <c r="C6" s="276"/>
      <c r="D6" s="276">
        <v>7.2</v>
      </c>
      <c r="E6" s="276">
        <v>7.09</v>
      </c>
      <c r="F6" s="43"/>
      <c r="G6" s="36"/>
    </row>
    <row r="7" spans="1:12" x14ac:dyDescent="0.3">
      <c r="B7" s="329" t="s">
        <v>82</v>
      </c>
      <c r="C7" s="317" t="s">
        <v>71</v>
      </c>
      <c r="D7" s="317" t="s">
        <v>67</v>
      </c>
      <c r="E7" s="317" t="s">
        <v>201</v>
      </c>
      <c r="F7" s="317" t="s">
        <v>68</v>
      </c>
      <c r="G7" s="317" t="s">
        <v>69</v>
      </c>
      <c r="H7" s="317" t="s">
        <v>77</v>
      </c>
      <c r="I7" s="317" t="s">
        <v>78</v>
      </c>
      <c r="J7" s="315" t="s">
        <v>79</v>
      </c>
    </row>
    <row r="8" spans="1:12" ht="20.399999999999999" customHeight="1" x14ac:dyDescent="0.3">
      <c r="B8" s="330"/>
      <c r="C8" s="331"/>
      <c r="D8" s="331"/>
      <c r="E8" s="331"/>
      <c r="F8" s="331"/>
      <c r="G8" s="331"/>
      <c r="H8" s="318"/>
      <c r="I8" s="318"/>
      <c r="J8" s="324"/>
    </row>
    <row r="9" spans="1:12" x14ac:dyDescent="0.3">
      <c r="B9" s="40" t="s">
        <v>65</v>
      </c>
      <c r="C9" s="37">
        <f>C10+'Carichi unitari'!$M$4</f>
        <v>19.599999999999998</v>
      </c>
      <c r="D9" s="37">
        <f>E4+F4</f>
        <v>405</v>
      </c>
      <c r="E9" s="139">
        <v>9</v>
      </c>
      <c r="F9" s="8">
        <f>D9*E9</f>
        <v>3645</v>
      </c>
      <c r="G9" s="8">
        <f>F9/9.81</f>
        <v>371.55963302752292</v>
      </c>
      <c r="H9" s="50">
        <f>F9*C9</f>
        <v>71441.999999999985</v>
      </c>
      <c r="I9" s="8">
        <f>H9*$L$4/$H$15</f>
        <v>702.52801374707826</v>
      </c>
      <c r="J9" s="51">
        <f>$I$9</f>
        <v>702.52801374707826</v>
      </c>
    </row>
    <row r="10" spans="1:12" x14ac:dyDescent="0.3">
      <c r="B10" s="40">
        <v>5</v>
      </c>
      <c r="C10" s="37">
        <f>C11+'Carichi unitari'!$M$4</f>
        <v>16.399999999999999</v>
      </c>
      <c r="D10" s="37">
        <f>D4</f>
        <v>415</v>
      </c>
      <c r="E10" s="138">
        <v>10</v>
      </c>
      <c r="F10" s="8">
        <f t="shared" ref="F10:F14" si="0">D10*E10</f>
        <v>4150</v>
      </c>
      <c r="G10" s="8">
        <f t="shared" ref="G10:G14" si="1">F10/9.81</f>
        <v>423.03771661569823</v>
      </c>
      <c r="H10" s="50">
        <f t="shared" ref="H10:H14" si="2">F10*C10</f>
        <v>68060</v>
      </c>
      <c r="I10" s="8">
        <f t="shared" ref="I10:I14" si="3">H10*$L$4/$H$15</f>
        <v>669.27096967646708</v>
      </c>
      <c r="J10" s="51">
        <f>$I$10+$J$9</f>
        <v>1371.7989834235455</v>
      </c>
      <c r="K10" s="45"/>
    </row>
    <row r="11" spans="1:12" x14ac:dyDescent="0.3">
      <c r="B11" s="40">
        <v>4</v>
      </c>
      <c r="C11" s="37">
        <f>C12+'Carichi unitari'!$M$4</f>
        <v>13.2</v>
      </c>
      <c r="D11" s="37">
        <f>$D$4</f>
        <v>415</v>
      </c>
      <c r="E11" s="138">
        <v>10</v>
      </c>
      <c r="F11" s="8">
        <f t="shared" si="0"/>
        <v>4150</v>
      </c>
      <c r="G11" s="8">
        <f t="shared" si="1"/>
        <v>423.03771661569823</v>
      </c>
      <c r="H11" s="50">
        <f t="shared" si="2"/>
        <v>54780</v>
      </c>
      <c r="I11" s="8">
        <f t="shared" si="3"/>
        <v>538.68151217861976</v>
      </c>
      <c r="J11" s="51">
        <f>$I$11+$J$10</f>
        <v>1910.4804956021653</v>
      </c>
    </row>
    <row r="12" spans="1:12" x14ac:dyDescent="0.3">
      <c r="B12" s="40">
        <v>3</v>
      </c>
      <c r="C12" s="37">
        <f>C13+'Carichi unitari'!$M$4</f>
        <v>10</v>
      </c>
      <c r="D12" s="37">
        <f>$D$4</f>
        <v>415</v>
      </c>
      <c r="E12" s="138">
        <v>10</v>
      </c>
      <c r="F12" s="8">
        <f t="shared" si="0"/>
        <v>4150</v>
      </c>
      <c r="G12" s="8">
        <f t="shared" si="1"/>
        <v>423.03771661569823</v>
      </c>
      <c r="H12" s="50">
        <f t="shared" si="2"/>
        <v>41500</v>
      </c>
      <c r="I12" s="8">
        <f t="shared" si="3"/>
        <v>408.09205468077261</v>
      </c>
      <c r="J12" s="51">
        <f>$I$12+$J$11</f>
        <v>2318.5725502829378</v>
      </c>
    </row>
    <row r="13" spans="1:12" x14ac:dyDescent="0.3">
      <c r="B13" s="40">
        <v>2</v>
      </c>
      <c r="C13" s="8">
        <f>C14+'Carichi unitari'!$M$4</f>
        <v>6.8000000000000007</v>
      </c>
      <c r="D13" s="37">
        <f>$D$4</f>
        <v>415</v>
      </c>
      <c r="E13" s="138">
        <v>10</v>
      </c>
      <c r="F13" s="8">
        <f t="shared" si="0"/>
        <v>4150</v>
      </c>
      <c r="G13" s="8">
        <f t="shared" si="1"/>
        <v>423.03771661569823</v>
      </c>
      <c r="H13" s="50">
        <f t="shared" si="2"/>
        <v>28220.000000000004</v>
      </c>
      <c r="I13" s="8">
        <f t="shared" si="3"/>
        <v>277.5025971829254</v>
      </c>
      <c r="J13" s="51">
        <f>$I$13+$J$12</f>
        <v>2596.0751474658632</v>
      </c>
    </row>
    <row r="14" spans="1:12" x14ac:dyDescent="0.3">
      <c r="B14" s="40">
        <v>1</v>
      </c>
      <c r="C14" s="37">
        <f>'Carichi unitari'!M5+0.6</f>
        <v>3.6</v>
      </c>
      <c r="D14" s="37">
        <f>C4</f>
        <v>344</v>
      </c>
      <c r="E14" s="138">
        <v>10</v>
      </c>
      <c r="F14" s="8">
        <f t="shared" si="0"/>
        <v>3440</v>
      </c>
      <c r="G14" s="8">
        <f t="shared" si="1"/>
        <v>350.66258919469925</v>
      </c>
      <c r="H14" s="50">
        <f t="shared" si="2"/>
        <v>12384</v>
      </c>
      <c r="I14" s="8">
        <f t="shared" si="3"/>
        <v>121.77860253413705</v>
      </c>
      <c r="J14" s="51">
        <f>$I$14+$J$13</f>
        <v>2717.8537500000002</v>
      </c>
    </row>
    <row r="15" spans="1:12" ht="15" thickBot="1" x14ac:dyDescent="0.35">
      <c r="B15" s="48" t="s">
        <v>66</v>
      </c>
      <c r="C15" s="49"/>
      <c r="D15" s="38"/>
      <c r="E15" s="39"/>
      <c r="F15" s="11">
        <f>F9+F10+F11+F12+F13+F14</f>
        <v>23685</v>
      </c>
      <c r="G15" s="52">
        <f>G9+G10+G11+G12+G13+G14</f>
        <v>2414.3730886850149</v>
      </c>
      <c r="H15" s="53">
        <f>H9+H10+H11+H12+H13+H14</f>
        <v>276386</v>
      </c>
      <c r="I15" s="38"/>
      <c r="J15" s="42"/>
    </row>
    <row r="17" spans="2:6" x14ac:dyDescent="0.3">
      <c r="B17" s="23">
        <f>SQRT(B6^2+B5^2)</f>
        <v>8.5211501571090746</v>
      </c>
      <c r="C17" s="23"/>
      <c r="D17" s="23">
        <f>SQRT(D6^2+D5^2)</f>
        <v>9.1214034007931044</v>
      </c>
      <c r="E17" s="23">
        <f>SQRT(E6^2+E5^2)</f>
        <v>8.8281198451312388</v>
      </c>
    </row>
    <row r="18" spans="2:6" x14ac:dyDescent="0.3">
      <c r="B18" s="23"/>
      <c r="C18" s="23"/>
      <c r="D18" s="23"/>
      <c r="E18" s="23"/>
      <c r="F18" s="23"/>
    </row>
  </sheetData>
  <mergeCells count="17">
    <mergeCell ref="C7:C8"/>
    <mergeCell ref="F2:F3"/>
    <mergeCell ref="H7:H8"/>
    <mergeCell ref="H2:I2"/>
    <mergeCell ref="A5:A6"/>
    <mergeCell ref="J2:J3"/>
    <mergeCell ref="I7:I8"/>
    <mergeCell ref="J7:J8"/>
    <mergeCell ref="B2:B3"/>
    <mergeCell ref="D2:D3"/>
    <mergeCell ref="E2:E3"/>
    <mergeCell ref="B7:B8"/>
    <mergeCell ref="D7:D8"/>
    <mergeCell ref="E7:E8"/>
    <mergeCell ref="F7:F8"/>
    <mergeCell ref="G7:G8"/>
    <mergeCell ref="C2:C3"/>
  </mergeCells>
  <dataValidations disablePrompts="1" count="1">
    <dataValidation type="list" allowBlank="1" showInputMessage="1" showErrorMessage="1" sqref="J4">
      <formula1>"A,B"</formula1>
    </dataValidation>
  </dataValidations>
  <pageMargins left="0.7" right="0.7" top="0.75" bottom="0.75" header="0.3" footer="0.3"/>
  <pageSetup paperSize="9" orientation="portrait" horizontalDpi="360" verticalDpi="36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77"/>
  <sheetViews>
    <sheetView tabSelected="1" topLeftCell="A22" zoomScale="80" zoomScaleNormal="80" workbookViewId="0">
      <selection activeCell="E6" sqref="E6"/>
    </sheetView>
  </sheetViews>
  <sheetFormatPr defaultRowHeight="14.4" x14ac:dyDescent="0.3"/>
  <cols>
    <col min="1" max="2" width="10.77734375" customWidth="1"/>
    <col min="3" max="3" width="11.77734375" customWidth="1"/>
    <col min="4" max="8" width="10.77734375" customWidth="1"/>
    <col min="9" max="9" width="12.33203125" customWidth="1"/>
    <col min="10" max="15" width="10.77734375" customWidth="1"/>
    <col min="16" max="20" width="9.77734375" customWidth="1"/>
  </cols>
  <sheetData>
    <row r="2" spans="2:15" ht="15.6" x14ac:dyDescent="0.3">
      <c r="B2" s="1"/>
      <c r="C2" s="1"/>
      <c r="D2" s="1"/>
      <c r="E2" s="1"/>
      <c r="F2" s="1"/>
      <c r="G2" s="1"/>
      <c r="H2" s="1"/>
      <c r="I2" s="1"/>
      <c r="J2" s="341" t="s">
        <v>80</v>
      </c>
      <c r="K2" s="341"/>
      <c r="L2" s="342">
        <v>12.1</v>
      </c>
      <c r="M2" s="1"/>
      <c r="N2" s="1"/>
    </row>
    <row r="3" spans="2:15" ht="15.6" x14ac:dyDescent="0.3">
      <c r="B3" s="332" t="s">
        <v>82</v>
      </c>
      <c r="C3" s="333" t="s">
        <v>89</v>
      </c>
      <c r="D3" s="333" t="s">
        <v>90</v>
      </c>
      <c r="E3" s="333" t="s">
        <v>91</v>
      </c>
      <c r="F3" s="333" t="s">
        <v>92</v>
      </c>
      <c r="G3" s="338" t="s">
        <v>93</v>
      </c>
      <c r="H3" s="1"/>
      <c r="I3" s="1"/>
      <c r="J3" s="341"/>
      <c r="K3" s="341"/>
      <c r="L3" s="342"/>
      <c r="M3" s="1"/>
      <c r="N3" s="1"/>
    </row>
    <row r="4" spans="2:15" ht="15.6" x14ac:dyDescent="0.3">
      <c r="B4" s="332"/>
      <c r="C4" s="334"/>
      <c r="D4" s="334"/>
      <c r="E4" s="334"/>
      <c r="F4" s="334"/>
      <c r="G4" s="334"/>
      <c r="H4" s="1"/>
      <c r="I4" s="1"/>
      <c r="J4" s="341" t="s">
        <v>81</v>
      </c>
      <c r="K4" s="341"/>
      <c r="L4" s="342">
        <v>11.3</v>
      </c>
      <c r="M4" s="1"/>
      <c r="N4" s="1"/>
    </row>
    <row r="5" spans="2:15" ht="15.6" x14ac:dyDescent="0.3">
      <c r="B5" s="60" t="s">
        <v>65</v>
      </c>
      <c r="C5" s="61">
        <f>' Masse e forze'!J9</f>
        <v>702.52801374707826</v>
      </c>
      <c r="D5" s="61">
        <f>C5/$L$4</f>
        <v>62.170620685582143</v>
      </c>
      <c r="E5" s="61">
        <f>0.4*'Carichi unitari'!$M$4*D5</f>
        <v>79.57839447754516</v>
      </c>
      <c r="F5" s="61">
        <f>E5/2</f>
        <v>39.78919723877258</v>
      </c>
      <c r="G5" s="61">
        <f>2*F5/L6</f>
        <v>20.404716532703887</v>
      </c>
      <c r="H5" s="1"/>
      <c r="I5" s="1"/>
      <c r="J5" s="341"/>
      <c r="K5" s="341"/>
      <c r="L5" s="342"/>
      <c r="M5" s="1"/>
      <c r="N5" s="1"/>
      <c r="O5" s="23">
        <f>F5+Travi!$I$14</f>
        <v>164.60513323877257</v>
      </c>
    </row>
    <row r="6" spans="2:15" ht="15.6" x14ac:dyDescent="0.3">
      <c r="B6" s="60">
        <v>5</v>
      </c>
      <c r="C6" s="61">
        <f>' Masse e forze'!J10</f>
        <v>1371.7989834235455</v>
      </c>
      <c r="D6" s="61">
        <f t="shared" ref="D6:D10" si="0">C6/$L$4</f>
        <v>121.39814012597746</v>
      </c>
      <c r="E6" s="61">
        <f>0.5*'Carichi unitari'!$M$4*D6</f>
        <v>194.23702420156394</v>
      </c>
      <c r="F6" s="61">
        <f>(E6+E5)/2</f>
        <v>136.90770933955454</v>
      </c>
      <c r="G6" s="61">
        <f>2*F6/$L$6+G5</f>
        <v>90.613798245295968</v>
      </c>
      <c r="H6" s="1"/>
      <c r="I6" s="1"/>
      <c r="J6" s="337" t="s">
        <v>85</v>
      </c>
      <c r="K6" s="337"/>
      <c r="L6" s="81">
        <v>3.9</v>
      </c>
      <c r="M6" s="1"/>
      <c r="N6" s="1"/>
      <c r="O6" s="23">
        <f>F6+Travi!$I$14</f>
        <v>261.72364533955454</v>
      </c>
    </row>
    <row r="7" spans="2:15" ht="15.6" x14ac:dyDescent="0.3">
      <c r="B7" s="60">
        <v>4</v>
      </c>
      <c r="C7" s="61">
        <f>' Masse e forze'!J11</f>
        <v>1910.4804956021653</v>
      </c>
      <c r="D7" s="61">
        <f t="shared" si="0"/>
        <v>169.06907040727125</v>
      </c>
      <c r="E7" s="61">
        <f>0.5*'Carichi unitari'!$M$4*D7</f>
        <v>270.51051265163403</v>
      </c>
      <c r="F7" s="61">
        <f>(E7+E6)/2</f>
        <v>232.37376842659899</v>
      </c>
      <c r="G7" s="61">
        <f t="shared" ref="G7:G10" si="1">2*F7/$L$6+G6</f>
        <v>209.77983333585956</v>
      </c>
      <c r="H7" s="1"/>
      <c r="I7" s="1"/>
      <c r="J7" s="1"/>
      <c r="K7" s="1"/>
      <c r="L7" s="1"/>
      <c r="M7" s="1"/>
      <c r="N7" s="1"/>
      <c r="O7" s="23">
        <f>F7+Travi!$I$14</f>
        <v>357.18970442659895</v>
      </c>
    </row>
    <row r="8" spans="2:15" ht="15.6" x14ac:dyDescent="0.3">
      <c r="B8" s="60">
        <v>3</v>
      </c>
      <c r="C8" s="61">
        <f>' Masse e forze'!J12</f>
        <v>2318.5725502829378</v>
      </c>
      <c r="D8" s="61">
        <f t="shared" si="0"/>
        <v>205.18341152946351</v>
      </c>
      <c r="E8" s="61">
        <f>0.5*'Carichi unitari'!$M$4*D8</f>
        <v>328.29345844714163</v>
      </c>
      <c r="F8" s="61">
        <f>(E8+E7)/2</f>
        <v>299.40198554938786</v>
      </c>
      <c r="G8" s="61">
        <f t="shared" si="1"/>
        <v>363.31931310477643</v>
      </c>
      <c r="H8" s="1"/>
      <c r="I8" s="1"/>
      <c r="J8" s="1"/>
      <c r="K8" s="1"/>
      <c r="L8" s="1"/>
      <c r="M8" s="1"/>
      <c r="N8" s="1"/>
      <c r="O8" s="23">
        <f>F8+Travi!$I$14</f>
        <v>424.21792154938782</v>
      </c>
    </row>
    <row r="9" spans="2:15" ht="15.6" x14ac:dyDescent="0.3">
      <c r="B9" s="60">
        <v>2</v>
      </c>
      <c r="C9" s="61">
        <f>' Masse e forze'!J13</f>
        <v>2596.0751474658632</v>
      </c>
      <c r="D9" s="61">
        <f t="shared" si="0"/>
        <v>229.74116349255425</v>
      </c>
      <c r="E9" s="61">
        <f>0.5*'Carichi unitari'!$M$4*D9</f>
        <v>367.5858615880868</v>
      </c>
      <c r="F9" s="61">
        <f>(E9+E8)/2</f>
        <v>347.93966001761419</v>
      </c>
      <c r="G9" s="61">
        <f t="shared" si="1"/>
        <v>541.74990798560418</v>
      </c>
      <c r="H9" s="1"/>
      <c r="I9" s="1"/>
      <c r="J9" s="1"/>
      <c r="K9" s="1"/>
      <c r="L9" s="1"/>
      <c r="M9" s="1"/>
      <c r="N9" s="1"/>
      <c r="O9" s="23">
        <f>F9+Travi!$I$14</f>
        <v>472.75559601761415</v>
      </c>
    </row>
    <row r="10" spans="2:15" ht="15.6" x14ac:dyDescent="0.3">
      <c r="B10" s="62" t="s">
        <v>83</v>
      </c>
      <c r="C10" s="61">
        <f>' Masse e forze'!J14</f>
        <v>2717.8537500000002</v>
      </c>
      <c r="D10" s="61">
        <f t="shared" si="0"/>
        <v>240.51803097345135</v>
      </c>
      <c r="E10" s="61">
        <f>0.4*('Carichi unitari'!M5+0.6)*D10</f>
        <v>346.34596460176999</v>
      </c>
      <c r="F10" s="61">
        <f>(E10+E9)/2</f>
        <v>356.9659130949284</v>
      </c>
      <c r="G10" s="61">
        <f t="shared" si="1"/>
        <v>724.80935059838794</v>
      </c>
      <c r="H10" s="1"/>
      <c r="I10" s="1"/>
      <c r="J10" s="1"/>
      <c r="K10" s="1"/>
      <c r="L10" s="1"/>
      <c r="M10" s="1"/>
      <c r="N10" s="1"/>
      <c r="O10" s="23">
        <f>F10+Travi!$I$14</f>
        <v>481.78184909492836</v>
      </c>
    </row>
    <row r="11" spans="2:15" ht="15.6" x14ac:dyDescent="0.3">
      <c r="B11" s="63" t="s">
        <v>84</v>
      </c>
      <c r="C11" s="64"/>
      <c r="D11" s="64"/>
      <c r="E11" s="65">
        <f>0.6*('Carichi unitari'!M5+0.6)*D10</f>
        <v>519.51894690265499</v>
      </c>
      <c r="F11" s="64"/>
      <c r="G11" s="64"/>
      <c r="H11" s="1"/>
      <c r="I11" s="1"/>
      <c r="J11" s="1"/>
      <c r="K11" s="1"/>
      <c r="L11" s="1"/>
      <c r="M11" s="1"/>
      <c r="N11" s="1"/>
      <c r="O11" s="23">
        <f>F11+Travi!$I$14</f>
        <v>124.81593599999998</v>
      </c>
    </row>
    <row r="12" spans="2:15" ht="15.6" x14ac:dyDescent="0.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5" ht="15.6" x14ac:dyDescent="0.3">
      <c r="B13" s="1" t="s">
        <v>99</v>
      </c>
      <c r="C13" s="1"/>
      <c r="D13" s="1"/>
      <c r="E13" s="1"/>
      <c r="F13" s="1"/>
      <c r="G13" s="1"/>
      <c r="H13" s="1" t="s">
        <v>87</v>
      </c>
      <c r="I13" s="1"/>
      <c r="J13" s="1"/>
      <c r="K13" s="1"/>
      <c r="L13" s="1"/>
      <c r="M13" s="1"/>
      <c r="N13" s="1"/>
    </row>
    <row r="14" spans="2:15" ht="15.6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15" ht="15.6" x14ac:dyDescent="0.3">
      <c r="B15" s="332" t="s">
        <v>82</v>
      </c>
      <c r="C15" s="333" t="s">
        <v>89</v>
      </c>
      <c r="D15" s="333" t="s">
        <v>90</v>
      </c>
      <c r="E15" s="333" t="s">
        <v>91</v>
      </c>
      <c r="F15" s="333" t="s">
        <v>92</v>
      </c>
      <c r="G15" s="339"/>
      <c r="H15" s="332" t="s">
        <v>82</v>
      </c>
      <c r="I15" s="333" t="s">
        <v>89</v>
      </c>
      <c r="J15" s="333" t="s">
        <v>90</v>
      </c>
      <c r="K15" s="333" t="s">
        <v>91</v>
      </c>
      <c r="L15" s="333" t="s">
        <v>92</v>
      </c>
      <c r="M15" s="1"/>
      <c r="N15" s="1"/>
    </row>
    <row r="16" spans="2:15" ht="15.6" x14ac:dyDescent="0.3">
      <c r="B16" s="332"/>
      <c r="C16" s="334"/>
      <c r="D16" s="334"/>
      <c r="E16" s="334"/>
      <c r="F16" s="334"/>
      <c r="G16" s="340"/>
      <c r="H16" s="332"/>
      <c r="I16" s="334"/>
      <c r="J16" s="334"/>
      <c r="K16" s="334"/>
      <c r="L16" s="334"/>
      <c r="M16" s="1"/>
      <c r="N16" s="1"/>
    </row>
    <row r="17" spans="2:15" ht="15.6" x14ac:dyDescent="0.3">
      <c r="B17" s="60" t="s">
        <v>65</v>
      </c>
      <c r="C17" s="61">
        <f>C5</f>
        <v>702.52801374707826</v>
      </c>
      <c r="D17" s="61">
        <f>D5*20/100+D5</f>
        <v>74.604744822698564</v>
      </c>
      <c r="E17" s="61">
        <f>E5*20/100+E5</f>
        <v>95.494073373054192</v>
      </c>
      <c r="F17" s="61">
        <f>F5*20/100+F5</f>
        <v>47.747036686527096</v>
      </c>
      <c r="G17" s="66"/>
      <c r="H17" s="60" t="s">
        <v>65</v>
      </c>
      <c r="I17" s="61">
        <f t="shared" ref="I17:J22" si="2">C17</f>
        <v>702.52801374707826</v>
      </c>
      <c r="J17" s="61">
        <f t="shared" si="2"/>
        <v>74.604744822698564</v>
      </c>
      <c r="K17" s="61">
        <f>IF(' Masse e forze'!$J$4="A",(E17*1.5),(E17*1.3))</f>
        <v>124.14229538497045</v>
      </c>
      <c r="L17" s="61">
        <f t="shared" ref="L17:L22" si="3">F17</f>
        <v>47.747036686527096</v>
      </c>
      <c r="M17" s="1"/>
      <c r="N17" s="1"/>
    </row>
    <row r="18" spans="2:15" ht="15.6" x14ac:dyDescent="0.3">
      <c r="B18" s="60">
        <v>5</v>
      </c>
      <c r="C18" s="61">
        <f t="shared" ref="C18:C22" si="4">C6</f>
        <v>1371.7989834235455</v>
      </c>
      <c r="D18" s="61">
        <f t="shared" ref="D18:F22" si="5">D6*20/100+D6</f>
        <v>145.67776815117296</v>
      </c>
      <c r="E18" s="61">
        <f t="shared" si="5"/>
        <v>233.08442904187672</v>
      </c>
      <c r="F18" s="61">
        <f t="shared" si="5"/>
        <v>164.28925120746544</v>
      </c>
      <c r="G18" s="66"/>
      <c r="H18" s="60">
        <v>5</v>
      </c>
      <c r="I18" s="61">
        <f t="shared" si="2"/>
        <v>1371.7989834235455</v>
      </c>
      <c r="J18" s="61">
        <f t="shared" si="2"/>
        <v>145.67776815117296</v>
      </c>
      <c r="K18" s="61">
        <f>IF(' Masse e forze'!$J$4="A",(E18*1.5),(E18*1.3))</f>
        <v>303.00975775443976</v>
      </c>
      <c r="L18" s="61">
        <f t="shared" si="3"/>
        <v>164.28925120746544</v>
      </c>
      <c r="M18" s="1"/>
      <c r="N18" s="1"/>
    </row>
    <row r="19" spans="2:15" ht="15.6" x14ac:dyDescent="0.3">
      <c r="B19" s="60">
        <v>4</v>
      </c>
      <c r="C19" s="61">
        <f t="shared" si="4"/>
        <v>1910.4804956021653</v>
      </c>
      <c r="D19" s="61">
        <f t="shared" si="5"/>
        <v>202.88288448872549</v>
      </c>
      <c r="E19" s="61">
        <f t="shared" si="5"/>
        <v>324.61261518196085</v>
      </c>
      <c r="F19" s="61">
        <f t="shared" si="5"/>
        <v>278.84852211191878</v>
      </c>
      <c r="G19" s="66"/>
      <c r="H19" s="60">
        <v>4</v>
      </c>
      <c r="I19" s="61">
        <f t="shared" si="2"/>
        <v>1910.4804956021653</v>
      </c>
      <c r="J19" s="61">
        <f t="shared" si="2"/>
        <v>202.88288448872549</v>
      </c>
      <c r="K19" s="61">
        <f>IF(' Masse e forze'!$J$4="A",(E19*1.5),(E19*1.3))</f>
        <v>421.99639973654911</v>
      </c>
      <c r="L19" s="61">
        <f t="shared" si="3"/>
        <v>278.84852211191878</v>
      </c>
      <c r="M19" s="1"/>
      <c r="N19" s="1"/>
    </row>
    <row r="20" spans="2:15" ht="15.6" x14ac:dyDescent="0.3">
      <c r="B20" s="60">
        <v>3</v>
      </c>
      <c r="C20" s="61">
        <f t="shared" si="4"/>
        <v>2318.5725502829378</v>
      </c>
      <c r="D20" s="61">
        <f t="shared" si="5"/>
        <v>246.22009383535621</v>
      </c>
      <c r="E20" s="61">
        <f t="shared" si="5"/>
        <v>393.95215013656997</v>
      </c>
      <c r="F20" s="61">
        <f t="shared" si="5"/>
        <v>359.28238265926541</v>
      </c>
      <c r="G20" s="66"/>
      <c r="H20" s="60">
        <v>3</v>
      </c>
      <c r="I20" s="61">
        <f t="shared" si="2"/>
        <v>2318.5725502829378</v>
      </c>
      <c r="J20" s="61">
        <f t="shared" si="2"/>
        <v>246.22009383535621</v>
      </c>
      <c r="K20" s="61">
        <f>IF(' Masse e forze'!$J$4="A",(E20*1.5),(E20*1.3))</f>
        <v>512.13779517754097</v>
      </c>
      <c r="L20" s="61">
        <f t="shared" si="3"/>
        <v>359.28238265926541</v>
      </c>
      <c r="M20" s="1"/>
      <c r="N20" s="1"/>
    </row>
    <row r="21" spans="2:15" ht="15.6" x14ac:dyDescent="0.3">
      <c r="B21" s="60">
        <v>2</v>
      </c>
      <c r="C21" s="61">
        <f t="shared" si="4"/>
        <v>2596.0751474658632</v>
      </c>
      <c r="D21" s="61">
        <f t="shared" si="5"/>
        <v>275.6893961910651</v>
      </c>
      <c r="E21" s="61">
        <f t="shared" si="5"/>
        <v>441.10303390570414</v>
      </c>
      <c r="F21" s="61">
        <f t="shared" si="5"/>
        <v>417.52759202113702</v>
      </c>
      <c r="G21" s="66"/>
      <c r="H21" s="60">
        <v>2</v>
      </c>
      <c r="I21" s="61">
        <f t="shared" si="2"/>
        <v>2596.0751474658632</v>
      </c>
      <c r="J21" s="61">
        <f t="shared" si="2"/>
        <v>275.6893961910651</v>
      </c>
      <c r="K21" s="61">
        <f>IF(' Masse e forze'!$J$4="A",(E21*1.5),(E21*1.3))</f>
        <v>573.43394407741539</v>
      </c>
      <c r="L21" s="61">
        <f t="shared" si="3"/>
        <v>417.52759202113702</v>
      </c>
      <c r="M21" s="1"/>
      <c r="N21" s="1"/>
    </row>
    <row r="22" spans="2:15" ht="15.6" x14ac:dyDescent="0.3">
      <c r="B22" s="60" t="s">
        <v>83</v>
      </c>
      <c r="C22" s="61">
        <f t="shared" si="4"/>
        <v>2717.8537500000002</v>
      </c>
      <c r="D22" s="61">
        <f t="shared" si="5"/>
        <v>288.6216371681416</v>
      </c>
      <c r="E22" s="61">
        <f t="shared" si="5"/>
        <v>415.61515752212398</v>
      </c>
      <c r="F22" s="61">
        <f t="shared" si="5"/>
        <v>428.35909571391409</v>
      </c>
      <c r="G22" s="66"/>
      <c r="H22" s="60" t="s">
        <v>83</v>
      </c>
      <c r="I22" s="61">
        <f t="shared" si="2"/>
        <v>2717.8537500000002</v>
      </c>
      <c r="J22" s="61">
        <f t="shared" si="2"/>
        <v>288.6216371681416</v>
      </c>
      <c r="K22" s="61">
        <f>IF(' Masse e forze'!$J$4="A",(E22*1.5),(E22*1.3))</f>
        <v>540.29970477876122</v>
      </c>
      <c r="L22" s="61">
        <f t="shared" si="3"/>
        <v>428.35909571391409</v>
      </c>
      <c r="M22" s="1"/>
      <c r="N22" s="1"/>
    </row>
    <row r="23" spans="2:15" ht="15.6" x14ac:dyDescent="0.3">
      <c r="B23" s="63" t="s">
        <v>84</v>
      </c>
      <c r="C23" s="64"/>
      <c r="D23" s="64"/>
      <c r="E23" s="61">
        <f t="shared" ref="E23" si="6">E11*20/100+E11</f>
        <v>623.42273628318594</v>
      </c>
      <c r="F23" s="64"/>
      <c r="G23" s="67"/>
      <c r="H23" s="63" t="s">
        <v>84</v>
      </c>
      <c r="I23" s="64"/>
      <c r="J23" s="64"/>
      <c r="K23" s="61">
        <f>E23</f>
        <v>623.42273628318594</v>
      </c>
      <c r="L23" s="64"/>
      <c r="M23" s="1"/>
      <c r="N23" s="1"/>
    </row>
    <row r="24" spans="2:15" ht="16.2" thickBot="1" x14ac:dyDescent="0.35">
      <c r="B24" s="68"/>
      <c r="C24" s="64"/>
      <c r="D24" s="64"/>
      <c r="E24" s="66"/>
      <c r="F24" s="64"/>
      <c r="G24" s="67"/>
      <c r="H24" s="68"/>
      <c r="I24" s="64"/>
      <c r="J24" s="64"/>
      <c r="K24" s="66"/>
      <c r="L24" s="64"/>
      <c r="M24" s="1"/>
      <c r="N24" s="1"/>
    </row>
    <row r="25" spans="2:15" ht="15.6" customHeight="1" thickBot="1" x14ac:dyDescent="0.35">
      <c r="B25" s="345" t="s">
        <v>88</v>
      </c>
      <c r="C25" s="346"/>
      <c r="D25" s="346"/>
      <c r="E25" s="346"/>
      <c r="F25" s="347"/>
      <c r="M25" s="1"/>
      <c r="N25" s="1"/>
    </row>
    <row r="26" spans="2:15" ht="15.6" x14ac:dyDescent="0.3">
      <c r="B26" s="343" t="s">
        <v>82</v>
      </c>
      <c r="C26" s="344" t="s">
        <v>97</v>
      </c>
      <c r="D26" s="344" t="s">
        <v>98</v>
      </c>
      <c r="E26" s="344" t="s">
        <v>95</v>
      </c>
      <c r="F26" s="335" t="s">
        <v>96</v>
      </c>
      <c r="G26" s="332" t="s">
        <v>124</v>
      </c>
      <c r="H26" s="332"/>
      <c r="L26" s="1"/>
      <c r="M26" s="1"/>
      <c r="N26" s="1"/>
      <c r="O26" s="1"/>
    </row>
    <row r="27" spans="2:15" ht="15.6" customHeight="1" x14ac:dyDescent="0.3">
      <c r="B27" s="332"/>
      <c r="C27" s="334"/>
      <c r="D27" s="348"/>
      <c r="E27" s="334"/>
      <c r="F27" s="336"/>
      <c r="G27" s="332"/>
      <c r="H27" s="332"/>
      <c r="J27" t="s">
        <v>205</v>
      </c>
      <c r="K27">
        <v>0.3</v>
      </c>
      <c r="L27" s="1"/>
      <c r="M27" s="1"/>
      <c r="N27" s="1"/>
      <c r="O27" s="1"/>
    </row>
    <row r="28" spans="2:15" ht="15.6" x14ac:dyDescent="0.3">
      <c r="B28" s="60" t="s">
        <v>65</v>
      </c>
      <c r="C28" s="61">
        <f t="shared" ref="C28:C33" si="7">L17</f>
        <v>47.747036686527096</v>
      </c>
      <c r="D28" s="61">
        <f>Travi!O14</f>
        <v>78.443799000000013</v>
      </c>
      <c r="E28" s="61">
        <f>C28+D28</f>
        <v>126.19083568652711</v>
      </c>
      <c r="F28" s="84">
        <f>0.017*SQRT(E28/0.3)</f>
        <v>0.34866006134632216</v>
      </c>
      <c r="G28" s="96">
        <v>30</v>
      </c>
      <c r="H28" s="129">
        <v>50</v>
      </c>
      <c r="J28" t="s">
        <v>40</v>
      </c>
      <c r="K28">
        <v>0.5</v>
      </c>
      <c r="L28" s="1"/>
      <c r="M28" s="1"/>
      <c r="N28" s="1"/>
      <c r="O28" s="1"/>
    </row>
    <row r="29" spans="2:15" ht="15.6" x14ac:dyDescent="0.3">
      <c r="B29" s="60">
        <v>5</v>
      </c>
      <c r="C29" s="61">
        <f t="shared" si="7"/>
        <v>164.28925120746544</v>
      </c>
      <c r="D29" s="61">
        <f>$D$28</f>
        <v>78.443799000000013</v>
      </c>
      <c r="E29" s="61">
        <f t="shared" ref="E29:E33" si="8">C29+D29</f>
        <v>242.73305020746545</v>
      </c>
      <c r="F29" s="84">
        <f t="shared" ref="F29:F33" si="9">0.017*SQRT(E29/0.3)</f>
        <v>0.48356265195579889</v>
      </c>
      <c r="G29" s="96">
        <v>30</v>
      </c>
      <c r="H29" s="129">
        <v>60</v>
      </c>
      <c r="J29" t="s">
        <v>28</v>
      </c>
      <c r="K29">
        <v>1.7000000000000001E-2</v>
      </c>
      <c r="L29" s="1"/>
      <c r="M29" s="1"/>
      <c r="N29" s="1"/>
      <c r="O29" s="1"/>
    </row>
    <row r="30" spans="2:15" ht="15.6" x14ac:dyDescent="0.3">
      <c r="B30" s="60">
        <v>4</v>
      </c>
      <c r="C30" s="61">
        <f t="shared" si="7"/>
        <v>278.84852211191878</v>
      </c>
      <c r="D30" s="61">
        <f>$D$28</f>
        <v>78.443799000000013</v>
      </c>
      <c r="E30" s="61">
        <f t="shared" si="8"/>
        <v>357.2923211119188</v>
      </c>
      <c r="F30" s="84">
        <f t="shared" si="9"/>
        <v>0.5866784491279261</v>
      </c>
      <c r="G30" s="96">
        <v>30</v>
      </c>
      <c r="H30" s="271">
        <v>60</v>
      </c>
      <c r="J30" t="s">
        <v>30</v>
      </c>
      <c r="K30">
        <f>K28-0.04</f>
        <v>0.46</v>
      </c>
      <c r="L30" s="1"/>
      <c r="M30" s="1"/>
      <c r="N30" s="1"/>
      <c r="O30" s="1"/>
    </row>
    <row r="31" spans="2:15" ht="15.6" x14ac:dyDescent="0.3">
      <c r="B31" s="60">
        <v>3</v>
      </c>
      <c r="C31" s="61">
        <f t="shared" si="7"/>
        <v>359.28238265926541</v>
      </c>
      <c r="D31" s="61">
        <f>$D$28</f>
        <v>78.443799000000013</v>
      </c>
      <c r="E31" s="61">
        <f t="shared" si="8"/>
        <v>437.72618165926542</v>
      </c>
      <c r="F31" s="84">
        <f t="shared" si="9"/>
        <v>0.6493660151756423</v>
      </c>
      <c r="G31" s="96">
        <v>30</v>
      </c>
      <c r="H31" s="129">
        <v>70</v>
      </c>
      <c r="J31" t="s">
        <v>103</v>
      </c>
      <c r="K31" s="270">
        <f>K27*K30^2/K29^2</f>
        <v>219.65397923875429</v>
      </c>
      <c r="L31" s="1"/>
      <c r="M31" s="1"/>
      <c r="N31" s="1"/>
      <c r="O31" s="1"/>
    </row>
    <row r="32" spans="2:15" ht="15.6" x14ac:dyDescent="0.3">
      <c r="B32" s="60">
        <v>2</v>
      </c>
      <c r="C32" s="61">
        <f t="shared" si="7"/>
        <v>417.52759202113702</v>
      </c>
      <c r="D32" s="61">
        <f>$D$28</f>
        <v>78.443799000000013</v>
      </c>
      <c r="E32" s="61">
        <f t="shared" si="8"/>
        <v>495.97139102113704</v>
      </c>
      <c r="F32" s="84">
        <f t="shared" si="9"/>
        <v>0.69122049546462527</v>
      </c>
      <c r="G32" s="96">
        <v>30</v>
      </c>
      <c r="H32" s="271">
        <v>70</v>
      </c>
      <c r="L32" s="1"/>
      <c r="M32" s="1"/>
      <c r="N32" s="1"/>
      <c r="O32" s="1"/>
    </row>
    <row r="33" spans="2:20" ht="15.6" x14ac:dyDescent="0.3">
      <c r="B33" s="60">
        <v>1</v>
      </c>
      <c r="C33" s="61">
        <f t="shared" si="7"/>
        <v>428.35909571391409</v>
      </c>
      <c r="D33" s="61">
        <f>$D$28</f>
        <v>78.443799000000013</v>
      </c>
      <c r="E33" s="61">
        <f t="shared" si="8"/>
        <v>506.8028947139141</v>
      </c>
      <c r="F33" s="84">
        <f t="shared" si="9"/>
        <v>0.69872750189736876</v>
      </c>
      <c r="G33" s="96">
        <v>30</v>
      </c>
      <c r="H33" s="129">
        <v>80</v>
      </c>
      <c r="I33" s="1"/>
      <c r="J33" s="1"/>
      <c r="K33" s="1"/>
      <c r="L33" s="1"/>
      <c r="M33" s="1"/>
      <c r="N33" s="1"/>
      <c r="O33" s="1"/>
    </row>
    <row r="34" spans="2:20" ht="16.2" thickBo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20" ht="16.2" thickBot="1" x14ac:dyDescent="0.35">
      <c r="B35" s="345" t="s">
        <v>101</v>
      </c>
      <c r="C35" s="346"/>
      <c r="D35" s="346"/>
      <c r="E35" s="346"/>
      <c r="F35" s="347"/>
      <c r="G35" s="1"/>
      <c r="H35" s="1"/>
      <c r="I35" s="1"/>
      <c r="J35" s="1"/>
      <c r="K35" s="1"/>
      <c r="Q35" s="1"/>
      <c r="R35" s="1"/>
      <c r="S35" s="1"/>
      <c r="T35" s="1"/>
    </row>
    <row r="36" spans="2:20" ht="15.6" x14ac:dyDescent="0.3">
      <c r="B36" s="349" t="s">
        <v>82</v>
      </c>
      <c r="C36" s="351" t="s">
        <v>100</v>
      </c>
      <c r="D36" s="353" t="s">
        <v>93</v>
      </c>
      <c r="E36" s="354" t="s">
        <v>104</v>
      </c>
      <c r="F36" s="356" t="s">
        <v>102</v>
      </c>
      <c r="G36" s="332" t="s">
        <v>121</v>
      </c>
      <c r="H36" s="332"/>
      <c r="Q36" s="1"/>
      <c r="R36" s="1"/>
      <c r="S36" s="1"/>
      <c r="T36" s="1"/>
    </row>
    <row r="37" spans="2:20" ht="15.6" x14ac:dyDescent="0.3">
      <c r="B37" s="350"/>
      <c r="C37" s="352"/>
      <c r="D37" s="352"/>
      <c r="E37" s="355"/>
      <c r="F37" s="357"/>
      <c r="G37" s="332"/>
      <c r="H37" s="332"/>
      <c r="Q37" s="74"/>
      <c r="R37" s="1"/>
      <c r="S37" s="1"/>
      <c r="T37" s="1"/>
    </row>
    <row r="38" spans="2:20" ht="15.6" x14ac:dyDescent="0.3">
      <c r="B38" s="113" t="s">
        <v>65</v>
      </c>
      <c r="C38" s="61">
        <f>K17</f>
        <v>124.14229538497045</v>
      </c>
      <c r="D38" s="61">
        <f>G5</f>
        <v>20.404716532703887</v>
      </c>
      <c r="E38" s="61">
        <f>Pilastri!T10</f>
        <v>95</v>
      </c>
      <c r="F38" s="123">
        <f>Pilastri!O10</f>
        <v>269.10000000000002</v>
      </c>
      <c r="G38" s="96">
        <v>30</v>
      </c>
      <c r="H38" s="129">
        <v>60</v>
      </c>
      <c r="Q38" s="74"/>
      <c r="R38" s="1"/>
      <c r="S38" s="1"/>
      <c r="T38" s="1"/>
    </row>
    <row r="39" spans="2:20" ht="15.6" x14ac:dyDescent="0.3">
      <c r="B39" s="113">
        <v>5</v>
      </c>
      <c r="C39" s="61">
        <f t="shared" ref="C39:C44" si="10">K18</f>
        <v>303.00975775443976</v>
      </c>
      <c r="D39" s="61">
        <f t="shared" ref="D39:D43" si="11">G6</f>
        <v>90.613798245295968</v>
      </c>
      <c r="E39" s="61">
        <f>$E$38*2</f>
        <v>190</v>
      </c>
      <c r="F39" s="123">
        <f>$F$38*2</f>
        <v>538.20000000000005</v>
      </c>
      <c r="G39" s="96">
        <v>30</v>
      </c>
      <c r="H39" s="129">
        <v>60</v>
      </c>
      <c r="Q39" s="74"/>
      <c r="R39" s="1"/>
      <c r="S39" s="1"/>
      <c r="T39" s="1"/>
    </row>
    <row r="40" spans="2:20" ht="15.6" x14ac:dyDescent="0.3">
      <c r="B40" s="113">
        <v>4</v>
      </c>
      <c r="C40" s="61">
        <f t="shared" si="10"/>
        <v>421.99639973654911</v>
      </c>
      <c r="D40" s="61">
        <f t="shared" si="11"/>
        <v>209.77983333585956</v>
      </c>
      <c r="E40" s="61">
        <f>$E$38*3</f>
        <v>285</v>
      </c>
      <c r="F40" s="123">
        <f>$F$38*3</f>
        <v>807.30000000000007</v>
      </c>
      <c r="G40" s="96">
        <v>30</v>
      </c>
      <c r="H40" s="129">
        <v>70</v>
      </c>
      <c r="Q40" s="74"/>
      <c r="R40" s="1"/>
      <c r="S40" s="1"/>
      <c r="T40" s="1"/>
    </row>
    <row r="41" spans="2:20" ht="15.6" x14ac:dyDescent="0.3">
      <c r="B41" s="113">
        <v>3</v>
      </c>
      <c r="C41" s="61">
        <f t="shared" si="10"/>
        <v>512.13779517754097</v>
      </c>
      <c r="D41" s="61">
        <f t="shared" si="11"/>
        <v>363.31931310477643</v>
      </c>
      <c r="E41" s="61">
        <f>$E$38*4</f>
        <v>380</v>
      </c>
      <c r="F41" s="123">
        <f>$F$38*4</f>
        <v>1076.4000000000001</v>
      </c>
      <c r="G41" s="96">
        <v>30</v>
      </c>
      <c r="H41" s="129">
        <v>70</v>
      </c>
      <c r="I41" s="1"/>
      <c r="K41" s="1"/>
      <c r="Q41" s="74"/>
      <c r="R41" s="1"/>
      <c r="S41" s="1"/>
      <c r="T41" s="1"/>
    </row>
    <row r="42" spans="2:20" ht="15.6" x14ac:dyDescent="0.3">
      <c r="B42" s="113">
        <v>2</v>
      </c>
      <c r="C42" s="61">
        <f t="shared" si="10"/>
        <v>573.43394407741539</v>
      </c>
      <c r="D42" s="61">
        <f t="shared" si="11"/>
        <v>541.74990798560418</v>
      </c>
      <c r="E42" s="61">
        <f>$E$38*5</f>
        <v>475</v>
      </c>
      <c r="F42" s="123">
        <f>$F$38*5</f>
        <v>1345.5</v>
      </c>
      <c r="G42" s="96">
        <v>30</v>
      </c>
      <c r="H42" s="129">
        <v>80</v>
      </c>
      <c r="I42" s="1"/>
      <c r="J42" s="1"/>
      <c r="K42" s="1"/>
      <c r="Q42" s="74"/>
      <c r="R42" s="1"/>
      <c r="S42" s="1"/>
      <c r="T42" s="1"/>
    </row>
    <row r="43" spans="2:20" ht="16.2" thickBot="1" x14ac:dyDescent="0.35">
      <c r="B43" s="269" t="s">
        <v>83</v>
      </c>
      <c r="C43" s="119">
        <f t="shared" si="10"/>
        <v>540.29970477876122</v>
      </c>
      <c r="D43" s="119">
        <f t="shared" si="11"/>
        <v>724.80935059838794</v>
      </c>
      <c r="E43" s="119">
        <f>$E$38*6</f>
        <v>570</v>
      </c>
      <c r="F43" s="124">
        <f>$F$38*6</f>
        <v>1614.6000000000001</v>
      </c>
      <c r="G43" s="96">
        <v>30</v>
      </c>
      <c r="H43" s="129">
        <v>80</v>
      </c>
      <c r="I43" s="1"/>
      <c r="J43" s="1"/>
      <c r="K43" s="1"/>
      <c r="L43" s="74"/>
      <c r="M43" s="1"/>
      <c r="N43" s="1"/>
      <c r="O43" s="1"/>
    </row>
    <row r="44" spans="2:20" ht="15.6" x14ac:dyDescent="0.3">
      <c r="B44" s="275" t="s">
        <v>84</v>
      </c>
      <c r="C44" s="274">
        <f t="shared" si="10"/>
        <v>623.42273628318594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20" ht="15.6" x14ac:dyDescent="0.3">
      <c r="B45" s="68"/>
      <c r="C45" s="66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20" ht="15.6" x14ac:dyDescent="0.3">
      <c r="B46" s="360" t="s">
        <v>118</v>
      </c>
      <c r="C46" s="360"/>
      <c r="D46" s="360" t="s">
        <v>121</v>
      </c>
      <c r="E46" s="360"/>
      <c r="F46" s="358" t="s">
        <v>122</v>
      </c>
      <c r="G46" s="358"/>
      <c r="H46" s="1"/>
      <c r="I46" s="1"/>
      <c r="J46" s="1"/>
      <c r="K46" s="1"/>
      <c r="L46" s="1"/>
      <c r="M46" s="1"/>
      <c r="N46" s="1"/>
      <c r="O46" s="1"/>
    </row>
    <row r="47" spans="2:20" ht="15.6" x14ac:dyDescent="0.3">
      <c r="B47" s="82" t="s">
        <v>103</v>
      </c>
      <c r="C47" s="61">
        <f>C43</f>
        <v>540.29970477876122</v>
      </c>
      <c r="D47" s="361" t="s">
        <v>142</v>
      </c>
      <c r="E47" s="361"/>
      <c r="F47" s="359" t="s">
        <v>127</v>
      </c>
      <c r="G47" s="359"/>
      <c r="H47" s="1"/>
      <c r="I47" s="1"/>
      <c r="J47" s="1"/>
      <c r="K47" s="1"/>
      <c r="L47" s="1"/>
      <c r="M47" s="1"/>
      <c r="N47" s="1"/>
      <c r="O47" s="1"/>
    </row>
    <row r="48" spans="2:20" ht="18" x14ac:dyDescent="0.4">
      <c r="B48" s="82" t="s">
        <v>119</v>
      </c>
      <c r="C48" s="61">
        <f>E43+D43</f>
        <v>1294.8093505983879</v>
      </c>
      <c r="D48" s="361"/>
      <c r="E48" s="361"/>
      <c r="F48" s="359"/>
      <c r="G48" s="359"/>
      <c r="H48" s="1"/>
      <c r="I48" s="1"/>
      <c r="J48" s="1"/>
      <c r="K48" s="1"/>
      <c r="L48" s="1"/>
      <c r="M48" s="1"/>
      <c r="N48" s="1"/>
      <c r="O48" s="1"/>
    </row>
    <row r="49" spans="2:15" ht="15.6" x14ac:dyDescent="0.3">
      <c r="B49" s="82" t="s">
        <v>103</v>
      </c>
      <c r="C49" s="61">
        <f>C44*70/100</f>
        <v>436.39591539823016</v>
      </c>
      <c r="D49" s="361" t="s">
        <v>142</v>
      </c>
      <c r="E49" s="361"/>
      <c r="F49" s="359" t="s">
        <v>127</v>
      </c>
      <c r="G49" s="359"/>
      <c r="H49" s="1"/>
      <c r="I49" s="1"/>
      <c r="J49" s="1"/>
      <c r="K49" s="1"/>
      <c r="L49" s="1"/>
      <c r="M49" s="1"/>
      <c r="N49" s="1"/>
      <c r="O49" s="1"/>
    </row>
    <row r="50" spans="2:15" ht="18" x14ac:dyDescent="0.4">
      <c r="B50" s="82" t="s">
        <v>120</v>
      </c>
      <c r="C50" s="79">
        <f>E42-D42</f>
        <v>-66.749907985604182</v>
      </c>
      <c r="D50" s="361"/>
      <c r="E50" s="361"/>
      <c r="F50" s="359"/>
      <c r="G50" s="359"/>
      <c r="H50" s="1"/>
      <c r="I50" s="1"/>
      <c r="J50" s="1"/>
      <c r="K50" s="1"/>
      <c r="L50" s="1"/>
      <c r="M50" s="1"/>
      <c r="N50" s="1"/>
      <c r="O50" s="1"/>
    </row>
    <row r="51" spans="2:15" ht="15.6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ht="15.6" x14ac:dyDescent="0.3">
      <c r="B52" s="1"/>
      <c r="C52" s="1"/>
      <c r="D52" s="268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ht="15.6" x14ac:dyDescent="0.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ht="15.6" x14ac:dyDescent="0.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15.6" x14ac:dyDescent="0.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15.6" x14ac:dyDescent="0.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ht="15.6" x14ac:dyDescent="0.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 ht="15.6" x14ac:dyDescent="0.3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ht="15.6" x14ac:dyDescent="0.3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ht="15.6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ht="15.6" x14ac:dyDescent="0.3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ht="15.6" x14ac:dyDescent="0.3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ht="15.6" x14ac:dyDescent="0.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ht="15.6" x14ac:dyDescent="0.3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 ht="15.6" x14ac:dyDescent="0.3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5.6" x14ac:dyDescent="0.3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5.6" x14ac:dyDescent="0.3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15.6" x14ac:dyDescent="0.3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15.6" x14ac:dyDescent="0.3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15.6" x14ac:dyDescent="0.3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15.6" x14ac:dyDescent="0.3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15.6" x14ac:dyDescent="0.3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15.6" x14ac:dyDescent="0.3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15.6" x14ac:dyDescent="0.3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 ht="15.6" x14ac:dyDescent="0.3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 ht="15.6" x14ac:dyDescent="0.3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ht="15.6" x14ac:dyDescent="0.3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</sheetData>
  <mergeCells count="43">
    <mergeCell ref="G36:H37"/>
    <mergeCell ref="F46:G46"/>
    <mergeCell ref="F47:G48"/>
    <mergeCell ref="F49:G50"/>
    <mergeCell ref="B46:C46"/>
    <mergeCell ref="D46:E46"/>
    <mergeCell ref="D47:E48"/>
    <mergeCell ref="D49:E50"/>
    <mergeCell ref="B35:F35"/>
    <mergeCell ref="B36:B37"/>
    <mergeCell ref="C36:C37"/>
    <mergeCell ref="D36:D37"/>
    <mergeCell ref="E36:E37"/>
    <mergeCell ref="F36:F37"/>
    <mergeCell ref="B26:B27"/>
    <mergeCell ref="C26:C27"/>
    <mergeCell ref="B25:F25"/>
    <mergeCell ref="D3:D4"/>
    <mergeCell ref="E3:E4"/>
    <mergeCell ref="F3:F4"/>
    <mergeCell ref="E26:E27"/>
    <mergeCell ref="D26:D27"/>
    <mergeCell ref="K15:K16"/>
    <mergeCell ref="L15:L16"/>
    <mergeCell ref="J6:K6"/>
    <mergeCell ref="G3:G4"/>
    <mergeCell ref="B15:B16"/>
    <mergeCell ref="C15:C16"/>
    <mergeCell ref="D15:D16"/>
    <mergeCell ref="E15:E16"/>
    <mergeCell ref="F15:F16"/>
    <mergeCell ref="G15:G16"/>
    <mergeCell ref="J2:K3"/>
    <mergeCell ref="L2:L3"/>
    <mergeCell ref="J4:K5"/>
    <mergeCell ref="L4:L5"/>
    <mergeCell ref="B3:B4"/>
    <mergeCell ref="C3:C4"/>
    <mergeCell ref="H15:H16"/>
    <mergeCell ref="I15:I16"/>
    <mergeCell ref="J15:J16"/>
    <mergeCell ref="F26:F27"/>
    <mergeCell ref="G26:H27"/>
  </mergeCells>
  <pageMargins left="0.7" right="0.7" top="0.75" bottom="0.75" header="0.3" footer="0.3"/>
  <pageSetup paperSize="9" scale="75" fitToWidth="0" fitToHeight="0" orientation="portrait" horizontalDpi="0" verticalDpi="0" r:id="rId1"/>
  <ignoredErrors>
    <ignoredError sqref="K17:K22" formula="1"/>
  </ignoredError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opLeftCell="B1" workbookViewId="0">
      <selection activeCell="Q16" sqref="Q16"/>
    </sheetView>
  </sheetViews>
  <sheetFormatPr defaultRowHeight="14.4" x14ac:dyDescent="0.3"/>
  <cols>
    <col min="1" max="1" width="6.33203125" customWidth="1"/>
    <col min="2" max="8" width="10.77734375" customWidth="1"/>
    <col min="9" max="9" width="12.109375" customWidth="1"/>
    <col min="10" max="11" width="10.77734375" customWidth="1"/>
    <col min="12" max="12" width="12.109375" customWidth="1"/>
    <col min="13" max="14" width="12.5546875" customWidth="1"/>
    <col min="15" max="21" width="10.77734375" customWidth="1"/>
  </cols>
  <sheetData>
    <row r="1" spans="1:19" ht="18" customHeigh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19" ht="18" customHeight="1" x14ac:dyDescent="0.3">
      <c r="A2" s="1"/>
      <c r="B2" s="1"/>
      <c r="C2" s="80"/>
      <c r="D2" s="80" t="s">
        <v>105</v>
      </c>
      <c r="E2" s="80"/>
      <c r="F2" s="80"/>
      <c r="G2" s="80"/>
      <c r="H2" s="80"/>
      <c r="I2" s="1"/>
      <c r="O2" s="385" t="s">
        <v>132</v>
      </c>
      <c r="P2" s="332" t="s">
        <v>124</v>
      </c>
      <c r="Q2" s="332"/>
      <c r="R2" s="332" t="s">
        <v>121</v>
      </c>
      <c r="S2" s="332"/>
    </row>
    <row r="3" spans="1:19" ht="18" customHeight="1" x14ac:dyDescent="0.3">
      <c r="A3" s="1"/>
      <c r="B3" s="1"/>
      <c r="C3" s="1"/>
      <c r="D3" s="1"/>
      <c r="E3" s="1"/>
      <c r="F3" s="1"/>
      <c r="G3" s="1"/>
      <c r="H3" s="1"/>
      <c r="I3" s="1"/>
      <c r="O3" s="385"/>
      <c r="P3" s="332"/>
      <c r="Q3" s="332"/>
      <c r="R3" s="332"/>
      <c r="S3" s="332"/>
    </row>
    <row r="4" spans="1:19" ht="18" customHeight="1" x14ac:dyDescent="0.3">
      <c r="A4" s="1"/>
      <c r="B4" s="1"/>
      <c r="C4" s="281" t="s">
        <v>106</v>
      </c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131"/>
      <c r="O4" s="133">
        <v>6</v>
      </c>
      <c r="P4" s="129">
        <f>'Car. sol'!G38</f>
        <v>30</v>
      </c>
      <c r="Q4" s="129">
        <f>'Car. sol'!H28</f>
        <v>50</v>
      </c>
      <c r="R4" s="96">
        <f>'Car. sol'!G38</f>
        <v>30</v>
      </c>
      <c r="S4" s="129">
        <f>'Car. sol'!H38</f>
        <v>60</v>
      </c>
    </row>
    <row r="5" spans="1:19" ht="18" customHeight="1" x14ac:dyDescent="0.3">
      <c r="A5" s="1"/>
      <c r="C5" s="379" t="s">
        <v>130</v>
      </c>
      <c r="D5" s="380"/>
      <c r="E5" s="381"/>
      <c r="F5" s="382" t="s">
        <v>113</v>
      </c>
      <c r="G5" s="383"/>
      <c r="H5" s="383"/>
      <c r="I5" s="384"/>
      <c r="J5" s="281" t="s">
        <v>138</v>
      </c>
      <c r="K5" s="281"/>
      <c r="L5" s="281"/>
      <c r="M5" s="281"/>
      <c r="N5" s="131"/>
      <c r="O5" s="132">
        <v>5</v>
      </c>
      <c r="P5" s="129">
        <f>'Car. sol'!G39</f>
        <v>30</v>
      </c>
      <c r="Q5" s="129">
        <f>'Car. sol'!H29</f>
        <v>60</v>
      </c>
      <c r="R5" s="96">
        <f>'Car. sol'!G39</f>
        <v>30</v>
      </c>
      <c r="S5" s="129">
        <f>'Car. sol'!H39</f>
        <v>60</v>
      </c>
    </row>
    <row r="6" spans="1:19" ht="18" customHeight="1" x14ac:dyDescent="0.3">
      <c r="A6" s="1"/>
      <c r="B6" s="1"/>
      <c r="C6" s="120" t="s">
        <v>110</v>
      </c>
      <c r="D6" s="120" t="s">
        <v>111</v>
      </c>
      <c r="E6" s="120" t="s">
        <v>129</v>
      </c>
      <c r="F6" s="120" t="s">
        <v>112</v>
      </c>
      <c r="G6" s="120" t="s">
        <v>114</v>
      </c>
      <c r="H6" s="130" t="s">
        <v>126</v>
      </c>
      <c r="I6" s="83" t="s">
        <v>128</v>
      </c>
      <c r="J6" s="120" t="s">
        <v>112</v>
      </c>
      <c r="K6" s="120" t="s">
        <v>114</v>
      </c>
      <c r="L6" s="130" t="s">
        <v>126</v>
      </c>
      <c r="M6" s="83" t="s">
        <v>128</v>
      </c>
      <c r="N6" s="85"/>
      <c r="O6" s="132">
        <v>4</v>
      </c>
      <c r="P6" s="129">
        <f>'Car. sol'!G40</f>
        <v>30</v>
      </c>
      <c r="Q6" s="129">
        <f>'Car. sol'!H30</f>
        <v>60</v>
      </c>
      <c r="R6" s="96">
        <f>'Car. sol'!G40</f>
        <v>30</v>
      </c>
      <c r="S6" s="129">
        <f>'Car. sol'!H40</f>
        <v>70</v>
      </c>
    </row>
    <row r="7" spans="1:19" ht="18" customHeight="1" x14ac:dyDescent="0.3">
      <c r="A7" s="1"/>
      <c r="B7" s="83" t="s">
        <v>107</v>
      </c>
      <c r="C7" s="122">
        <f>R4</f>
        <v>30</v>
      </c>
      <c r="D7" s="122">
        <f>S4</f>
        <v>60</v>
      </c>
      <c r="E7" s="122">
        <f>C7*D7^3/12</f>
        <v>540000</v>
      </c>
      <c r="F7" s="129">
        <v>12.1</v>
      </c>
      <c r="G7" s="121">
        <f>'Carichi unitari'!$M$4</f>
        <v>3.2</v>
      </c>
      <c r="H7" s="122">
        <f>E7*F7</f>
        <v>6534000</v>
      </c>
      <c r="I7" s="137">
        <f>(12*'Carichi unitari'!$M$9*H7/(G7^3))/100000000*(1/(1+0.5*(H7/G7*G8/H8+H7/G7*G9/H9)))</f>
        <v>279.71703678273002</v>
      </c>
      <c r="J7" s="129">
        <v>11.4</v>
      </c>
      <c r="K7" s="121">
        <f>'Carichi unitari'!$M$4</f>
        <v>3.2</v>
      </c>
      <c r="L7" s="122">
        <f>E7*J7</f>
        <v>6156000</v>
      </c>
      <c r="M7" s="137">
        <f>(12*'Carichi unitari'!$M$9*L7/(K7^3))/100000000*(1/(1+0.5*(L7/K7*K8/L8+L7/K7*K9/L9)))</f>
        <v>285.61214520746728</v>
      </c>
      <c r="N7" s="66"/>
      <c r="O7" s="132">
        <v>3</v>
      </c>
      <c r="P7" s="129">
        <f>'Car. sol'!G41</f>
        <v>30</v>
      </c>
      <c r="Q7" s="129">
        <f>'Car. sol'!H31</f>
        <v>70</v>
      </c>
      <c r="R7" s="96">
        <f>'Car. sol'!G41</f>
        <v>30</v>
      </c>
      <c r="S7" s="129">
        <f>'Car. sol'!H41</f>
        <v>70</v>
      </c>
    </row>
    <row r="8" spans="1:19" ht="18" customHeight="1" x14ac:dyDescent="0.3">
      <c r="A8" s="1"/>
      <c r="B8" s="83" t="s">
        <v>108</v>
      </c>
      <c r="C8" s="122">
        <f>P4</f>
        <v>30</v>
      </c>
      <c r="D8" s="122">
        <f>Q4</f>
        <v>50</v>
      </c>
      <c r="E8" s="122">
        <f>C8*D8^3/12</f>
        <v>312500</v>
      </c>
      <c r="F8" s="129">
        <v>14</v>
      </c>
      <c r="G8" s="90">
        <v>4.5999999999999996</v>
      </c>
      <c r="H8" s="122">
        <f>E8*F8</f>
        <v>4375000</v>
      </c>
      <c r="I8" s="122"/>
      <c r="J8" s="129">
        <v>17</v>
      </c>
      <c r="K8" s="90">
        <v>5.2</v>
      </c>
      <c r="L8" s="122">
        <f>E8*J8</f>
        <v>5312500</v>
      </c>
      <c r="M8" s="122"/>
      <c r="N8" s="67"/>
      <c r="O8" s="132">
        <v>2</v>
      </c>
      <c r="P8" s="129">
        <f>'Car. sol'!G42</f>
        <v>30</v>
      </c>
      <c r="Q8" s="129">
        <f>'Car. sol'!H32</f>
        <v>70</v>
      </c>
      <c r="R8" s="96">
        <f>'Car. sol'!G42</f>
        <v>30</v>
      </c>
      <c r="S8" s="129">
        <f>'Car. sol'!H42</f>
        <v>80</v>
      </c>
    </row>
    <row r="9" spans="1:19" ht="18" customHeight="1" x14ac:dyDescent="0.3">
      <c r="A9" s="1"/>
      <c r="B9" s="83" t="s">
        <v>109</v>
      </c>
      <c r="C9" s="122">
        <f>P5</f>
        <v>30</v>
      </c>
      <c r="D9" s="122">
        <f>Q5</f>
        <v>60</v>
      </c>
      <c r="E9" s="122">
        <f>C9*D9^3/12</f>
        <v>540000</v>
      </c>
      <c r="F9" s="129">
        <v>14</v>
      </c>
      <c r="G9" s="90">
        <v>4.5999999999999996</v>
      </c>
      <c r="H9" s="122">
        <f>E9*F9</f>
        <v>7560000</v>
      </c>
      <c r="I9" s="122"/>
      <c r="J9" s="129">
        <v>17</v>
      </c>
      <c r="K9" s="90">
        <v>5.2</v>
      </c>
      <c r="L9" s="122">
        <f>E9*J9</f>
        <v>9180000</v>
      </c>
      <c r="M9" s="122"/>
      <c r="N9" s="67"/>
      <c r="O9" s="132">
        <v>1</v>
      </c>
      <c r="P9" s="129">
        <f>'Car. sol'!G43</f>
        <v>30</v>
      </c>
      <c r="Q9" s="129">
        <f>'Car. sol'!H33</f>
        <v>80</v>
      </c>
      <c r="R9" s="96">
        <f>'Car. sol'!G43</f>
        <v>30</v>
      </c>
      <c r="S9" s="129">
        <f>'Car. sol'!H43</f>
        <v>80</v>
      </c>
    </row>
    <row r="10" spans="1:19" ht="18" customHeight="1" x14ac:dyDescent="0.3">
      <c r="A10" s="1"/>
      <c r="B10" s="1"/>
      <c r="C10" s="64"/>
      <c r="D10" s="64"/>
      <c r="E10" s="64"/>
      <c r="F10" s="64"/>
      <c r="G10" s="64"/>
      <c r="H10" s="64"/>
      <c r="I10" s="64"/>
      <c r="P10" s="1"/>
      <c r="Q10" s="1"/>
    </row>
    <row r="11" spans="1:19" ht="18" customHeight="1" x14ac:dyDescent="0.3">
      <c r="A11" s="1"/>
      <c r="B11" s="1"/>
      <c r="C11" s="281" t="s">
        <v>131</v>
      </c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131"/>
      <c r="P11" s="1"/>
      <c r="Q11" s="1"/>
    </row>
    <row r="12" spans="1:19" ht="18" customHeight="1" x14ac:dyDescent="0.3">
      <c r="A12" s="1"/>
      <c r="C12" s="379" t="s">
        <v>130</v>
      </c>
      <c r="D12" s="380"/>
      <c r="E12" s="381"/>
      <c r="F12" s="382" t="s">
        <v>113</v>
      </c>
      <c r="G12" s="383"/>
      <c r="H12" s="383"/>
      <c r="I12" s="384"/>
      <c r="J12" s="281" t="s">
        <v>138</v>
      </c>
      <c r="K12" s="281"/>
      <c r="L12" s="281"/>
      <c r="M12" s="281"/>
      <c r="N12" s="131"/>
    </row>
    <row r="13" spans="1:19" ht="18" customHeight="1" x14ac:dyDescent="0.3">
      <c r="A13" s="1"/>
      <c r="B13" s="1"/>
      <c r="C13" s="120" t="s">
        <v>110</v>
      </c>
      <c r="D13" s="120" t="s">
        <v>111</v>
      </c>
      <c r="E13" s="120" t="s">
        <v>129</v>
      </c>
      <c r="F13" s="120" t="s">
        <v>112</v>
      </c>
      <c r="G13" s="120" t="s">
        <v>114</v>
      </c>
      <c r="H13" s="130" t="s">
        <v>126</v>
      </c>
      <c r="I13" s="83" t="s">
        <v>128</v>
      </c>
      <c r="J13" s="120" t="s">
        <v>112</v>
      </c>
      <c r="K13" s="120" t="s">
        <v>114</v>
      </c>
      <c r="L13" s="130" t="s">
        <v>126</v>
      </c>
      <c r="M13" s="83" t="s">
        <v>128</v>
      </c>
      <c r="N13" s="85"/>
    </row>
    <row r="14" spans="1:19" ht="18" customHeight="1" x14ac:dyDescent="0.3">
      <c r="A14" s="1"/>
      <c r="B14" s="83" t="s">
        <v>107</v>
      </c>
      <c r="C14" s="122">
        <f>R5</f>
        <v>30</v>
      </c>
      <c r="D14" s="122">
        <f>S5</f>
        <v>60</v>
      </c>
      <c r="E14" s="122">
        <f>C14*D14^3/12</f>
        <v>540000</v>
      </c>
      <c r="F14" s="129">
        <v>12.1</v>
      </c>
      <c r="G14" s="121">
        <f>'Carichi unitari'!$M$4</f>
        <v>3.2</v>
      </c>
      <c r="H14" s="122">
        <f>E14*F14</f>
        <v>6534000</v>
      </c>
      <c r="I14" s="137">
        <f>(12*'Carichi unitari'!$M$9*H14/(G14^3))/100000000*(1/(1+0.5*(H14/G14*G15/H15+H14/G14*G16/H16)))</f>
        <v>336.12888525283682</v>
      </c>
      <c r="J14" s="129">
        <v>11.4</v>
      </c>
      <c r="K14" s="121">
        <f>'Carichi unitari'!$M$4</f>
        <v>3.2</v>
      </c>
      <c r="L14" s="122">
        <f>E14*J14</f>
        <v>6156000</v>
      </c>
      <c r="M14" s="137">
        <f>(12*'Carichi unitari'!$M$9*L14/(K14^3))/100000000*(1/(1+0.5*(L14/K14*K15/L15+L14/K14*K16/L16)))</f>
        <v>339.82498845443342</v>
      </c>
      <c r="N14" s="66"/>
    </row>
    <row r="15" spans="1:19" ht="18" customHeight="1" x14ac:dyDescent="0.3">
      <c r="A15" s="1"/>
      <c r="B15" s="83" t="s">
        <v>108</v>
      </c>
      <c r="C15" s="122">
        <f>P5</f>
        <v>30</v>
      </c>
      <c r="D15" s="122">
        <f>Q5</f>
        <v>60</v>
      </c>
      <c r="E15" s="122">
        <f>C15*D15^3/12</f>
        <v>540000</v>
      </c>
      <c r="F15" s="129">
        <v>14</v>
      </c>
      <c r="G15" s="90">
        <v>4.5999999999999996</v>
      </c>
      <c r="H15" s="122">
        <f>E15*F15</f>
        <v>7560000</v>
      </c>
      <c r="I15" s="122"/>
      <c r="J15" s="129">
        <v>17</v>
      </c>
      <c r="K15" s="90">
        <v>5.2</v>
      </c>
      <c r="L15" s="122">
        <f>E15*J15</f>
        <v>9180000</v>
      </c>
      <c r="M15" s="122"/>
      <c r="N15" s="67"/>
    </row>
    <row r="16" spans="1:19" ht="18" customHeight="1" x14ac:dyDescent="0.3">
      <c r="A16" s="1"/>
      <c r="B16" s="83" t="s">
        <v>109</v>
      </c>
      <c r="C16" s="122">
        <f>P6</f>
        <v>30</v>
      </c>
      <c r="D16" s="127">
        <f>Q6</f>
        <v>60</v>
      </c>
      <c r="E16" s="122">
        <f>C16*D16^3/12</f>
        <v>540000</v>
      </c>
      <c r="F16" s="129">
        <v>14</v>
      </c>
      <c r="G16" s="90">
        <v>4.5999999999999996</v>
      </c>
      <c r="H16" s="122">
        <f>E16*F16</f>
        <v>7560000</v>
      </c>
      <c r="I16" s="122"/>
      <c r="J16" s="129">
        <v>17</v>
      </c>
      <c r="K16" s="90">
        <v>5.2</v>
      </c>
      <c r="L16" s="122">
        <f>E16*J16</f>
        <v>9180000</v>
      </c>
      <c r="M16" s="122"/>
      <c r="N16" s="67"/>
    </row>
    <row r="17" spans="1:13" ht="18" customHeight="1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13" ht="18" customHeight="1" x14ac:dyDescent="0.3">
      <c r="A18" s="1"/>
      <c r="B18" s="1"/>
      <c r="C18" s="281" t="s">
        <v>134</v>
      </c>
      <c r="D18" s="281"/>
      <c r="E18" s="281"/>
      <c r="F18" s="281"/>
      <c r="G18" s="281"/>
      <c r="H18" s="281"/>
      <c r="I18" s="281"/>
      <c r="J18" s="281"/>
      <c r="K18" s="281"/>
      <c r="L18" s="281"/>
      <c r="M18" s="281"/>
    </row>
    <row r="19" spans="1:13" ht="18" customHeight="1" x14ac:dyDescent="0.3">
      <c r="A19" s="1"/>
      <c r="C19" s="379" t="s">
        <v>130</v>
      </c>
      <c r="D19" s="380"/>
      <c r="E19" s="381"/>
      <c r="F19" s="382" t="s">
        <v>113</v>
      </c>
      <c r="G19" s="383"/>
      <c r="H19" s="383"/>
      <c r="I19" s="384"/>
      <c r="J19" s="281" t="s">
        <v>138</v>
      </c>
      <c r="K19" s="281"/>
      <c r="L19" s="281"/>
      <c r="M19" s="281"/>
    </row>
    <row r="20" spans="1:13" ht="18" customHeight="1" x14ac:dyDescent="0.3">
      <c r="A20" s="1"/>
      <c r="B20" s="1"/>
      <c r="C20" s="125" t="s">
        <v>110</v>
      </c>
      <c r="D20" s="125" t="s">
        <v>111</v>
      </c>
      <c r="E20" s="125" t="s">
        <v>129</v>
      </c>
      <c r="F20" s="125" t="s">
        <v>112</v>
      </c>
      <c r="G20" s="125" t="s">
        <v>114</v>
      </c>
      <c r="H20" s="130" t="s">
        <v>126</v>
      </c>
      <c r="I20" s="83" t="s">
        <v>128</v>
      </c>
      <c r="J20" s="125" t="s">
        <v>112</v>
      </c>
      <c r="K20" s="125" t="s">
        <v>114</v>
      </c>
      <c r="L20" s="130" t="s">
        <v>126</v>
      </c>
      <c r="M20" s="83" t="s">
        <v>128</v>
      </c>
    </row>
    <row r="21" spans="1:13" ht="18" customHeight="1" x14ac:dyDescent="0.3">
      <c r="A21" s="1"/>
      <c r="B21" s="83" t="s">
        <v>107</v>
      </c>
      <c r="C21" s="127">
        <f>R6</f>
        <v>30</v>
      </c>
      <c r="D21" s="127">
        <f>S6</f>
        <v>70</v>
      </c>
      <c r="E21" s="127">
        <f>C21*D21^3/12</f>
        <v>857500</v>
      </c>
      <c r="F21" s="129">
        <v>12.1</v>
      </c>
      <c r="G21" s="126">
        <f>'Carichi unitari'!$M$4</f>
        <v>3.2</v>
      </c>
      <c r="H21" s="127">
        <f>E21*F21</f>
        <v>10375750</v>
      </c>
      <c r="I21" s="137">
        <f>(12*'Carichi unitari'!$M$9*H21/(G21^3))/100000000*(1/(1+0.5*(H21/G21*G22/H22+H21/G21*G23/H23)))</f>
        <v>458.99820675576808</v>
      </c>
      <c r="J21" s="129">
        <v>11.4</v>
      </c>
      <c r="K21" s="126">
        <f>'Carichi unitari'!$M$4</f>
        <v>3.2</v>
      </c>
      <c r="L21" s="127">
        <f>E21*J21</f>
        <v>9775500</v>
      </c>
      <c r="M21" s="137">
        <f>(12*'Carichi unitari'!$M$9*L21/(K21^3))/100000000*(1/(1+0.5*(L21/K21*K22/L22+L21/K21*K23/L23)))</f>
        <v>467.900089826552</v>
      </c>
    </row>
    <row r="22" spans="1:13" ht="18" customHeight="1" x14ac:dyDescent="0.3">
      <c r="A22" s="1"/>
      <c r="B22" s="83" t="s">
        <v>108</v>
      </c>
      <c r="C22" s="127">
        <f>P6</f>
        <v>30</v>
      </c>
      <c r="D22" s="127">
        <f>Q6</f>
        <v>60</v>
      </c>
      <c r="E22" s="127">
        <f>C22*D22^3/12</f>
        <v>540000</v>
      </c>
      <c r="F22" s="129">
        <v>14</v>
      </c>
      <c r="G22" s="90">
        <v>4.5999999999999996</v>
      </c>
      <c r="H22" s="127">
        <f>E22*F22</f>
        <v>7560000</v>
      </c>
      <c r="I22" s="127"/>
      <c r="J22" s="129">
        <v>17</v>
      </c>
      <c r="K22" s="90">
        <v>5.2</v>
      </c>
      <c r="L22" s="127">
        <f>E22*J22</f>
        <v>9180000</v>
      </c>
      <c r="M22" s="127"/>
    </row>
    <row r="23" spans="1:13" ht="18" customHeight="1" x14ac:dyDescent="0.3">
      <c r="A23" s="1"/>
      <c r="B23" s="83" t="s">
        <v>109</v>
      </c>
      <c r="C23" s="127">
        <f>P7</f>
        <v>30</v>
      </c>
      <c r="D23" s="127">
        <f>Q7</f>
        <v>70</v>
      </c>
      <c r="E23" s="127">
        <f>C23*D23^3/12</f>
        <v>857500</v>
      </c>
      <c r="F23" s="129">
        <v>14</v>
      </c>
      <c r="G23" s="90">
        <v>4.5999999999999996</v>
      </c>
      <c r="H23" s="127">
        <f>E23*F23</f>
        <v>12005000</v>
      </c>
      <c r="I23" s="127"/>
      <c r="J23" s="129">
        <v>17</v>
      </c>
      <c r="K23" s="90">
        <v>5.2</v>
      </c>
      <c r="L23" s="127">
        <f>E23*J23</f>
        <v>14577500</v>
      </c>
      <c r="M23" s="127"/>
    </row>
    <row r="24" spans="1:13" ht="18" customHeigh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3" ht="18" customHeight="1" x14ac:dyDescent="0.3">
      <c r="A25" s="1"/>
      <c r="B25" s="1"/>
      <c r="C25" s="281" t="s">
        <v>135</v>
      </c>
      <c r="D25" s="281"/>
      <c r="E25" s="281"/>
      <c r="F25" s="281"/>
      <c r="G25" s="281"/>
      <c r="H25" s="281"/>
      <c r="I25" s="281"/>
      <c r="J25" s="281"/>
      <c r="K25" s="281"/>
      <c r="L25" s="281"/>
      <c r="M25" s="281"/>
    </row>
    <row r="26" spans="1:13" ht="18" customHeight="1" x14ac:dyDescent="0.3">
      <c r="C26" s="379" t="s">
        <v>130</v>
      </c>
      <c r="D26" s="380"/>
      <c r="E26" s="381"/>
      <c r="F26" s="382" t="s">
        <v>113</v>
      </c>
      <c r="G26" s="383"/>
      <c r="H26" s="383"/>
      <c r="I26" s="384"/>
      <c r="J26" s="281" t="s">
        <v>138</v>
      </c>
      <c r="K26" s="281"/>
      <c r="L26" s="281"/>
      <c r="M26" s="281"/>
    </row>
    <row r="27" spans="1:13" ht="18" customHeight="1" x14ac:dyDescent="0.3">
      <c r="B27" s="1"/>
      <c r="C27" s="125" t="s">
        <v>110</v>
      </c>
      <c r="D27" s="125" t="s">
        <v>111</v>
      </c>
      <c r="E27" s="125" t="s">
        <v>129</v>
      </c>
      <c r="F27" s="125" t="s">
        <v>112</v>
      </c>
      <c r="G27" s="125" t="s">
        <v>114</v>
      </c>
      <c r="H27" s="130" t="s">
        <v>126</v>
      </c>
      <c r="I27" s="83" t="s">
        <v>128</v>
      </c>
      <c r="J27" s="125" t="s">
        <v>112</v>
      </c>
      <c r="K27" s="125" t="s">
        <v>114</v>
      </c>
      <c r="L27" s="130" t="s">
        <v>126</v>
      </c>
      <c r="M27" s="83" t="s">
        <v>128</v>
      </c>
    </row>
    <row r="28" spans="1:13" ht="18" customHeight="1" x14ac:dyDescent="0.3">
      <c r="B28" s="83" t="s">
        <v>107</v>
      </c>
      <c r="C28" s="127">
        <f>R7</f>
        <v>30</v>
      </c>
      <c r="D28" s="127">
        <f>S7</f>
        <v>70</v>
      </c>
      <c r="E28" s="127">
        <f>C28*D28^3/12</f>
        <v>857500</v>
      </c>
      <c r="F28" s="129">
        <v>12.1</v>
      </c>
      <c r="G28" s="126">
        <f>'Carichi unitari'!$M$4</f>
        <v>3.2</v>
      </c>
      <c r="H28" s="127">
        <f>E28*F28</f>
        <v>10375750</v>
      </c>
      <c r="I28" s="137">
        <f>(12*'Carichi unitari'!$M$9*H28/(G28^3))/100000000*(1/(1+0.5*(H28/G28*G29/H29+H28/G28*G30/H30)))</f>
        <v>533.7602205635327</v>
      </c>
      <c r="J28" s="129">
        <v>11.4</v>
      </c>
      <c r="K28" s="126">
        <f>'Carichi unitari'!$M$4</f>
        <v>3.2</v>
      </c>
      <c r="L28" s="127">
        <f>E28*J28</f>
        <v>9775500</v>
      </c>
      <c r="M28" s="137">
        <f>(12*'Carichi unitari'!$M$9*L28/(K28^3))/100000000*(1/(1+0.5*(L28/K28*K29/L29+L28/K28*K30/L30)))</f>
        <v>539.62949555495675</v>
      </c>
    </row>
    <row r="29" spans="1:13" ht="18" customHeight="1" x14ac:dyDescent="0.3">
      <c r="B29" s="83" t="s">
        <v>108</v>
      </c>
      <c r="C29" s="127">
        <f>P7</f>
        <v>30</v>
      </c>
      <c r="D29" s="127">
        <f>Q7</f>
        <v>70</v>
      </c>
      <c r="E29" s="127">
        <f>C29*D29^3/12</f>
        <v>857500</v>
      </c>
      <c r="F29" s="129">
        <v>14</v>
      </c>
      <c r="G29" s="90">
        <v>4.5999999999999996</v>
      </c>
      <c r="H29" s="127">
        <f>E29*F29</f>
        <v>12005000</v>
      </c>
      <c r="I29" s="127"/>
      <c r="J29" s="129">
        <v>17</v>
      </c>
      <c r="K29" s="90">
        <v>5.2</v>
      </c>
      <c r="L29" s="127">
        <f>E29*J29</f>
        <v>14577500</v>
      </c>
      <c r="M29" s="127"/>
    </row>
    <row r="30" spans="1:13" ht="18" customHeight="1" x14ac:dyDescent="0.3">
      <c r="B30" s="83" t="s">
        <v>109</v>
      </c>
      <c r="C30" s="127">
        <f>P8</f>
        <v>30</v>
      </c>
      <c r="D30" s="127">
        <f>Q8</f>
        <v>70</v>
      </c>
      <c r="E30" s="127">
        <f>C30*D30^3/12</f>
        <v>857500</v>
      </c>
      <c r="F30" s="129">
        <v>14</v>
      </c>
      <c r="G30" s="90">
        <v>4.5999999999999996</v>
      </c>
      <c r="H30" s="127">
        <f>E30*F30</f>
        <v>12005000</v>
      </c>
      <c r="I30" s="127"/>
      <c r="J30" s="129">
        <v>17</v>
      </c>
      <c r="K30" s="90">
        <v>5.2</v>
      </c>
      <c r="L30" s="127">
        <f>E30*J30</f>
        <v>14577500</v>
      </c>
      <c r="M30" s="127"/>
    </row>
    <row r="31" spans="1:13" ht="18" customHeight="1" x14ac:dyDescent="0.3"/>
    <row r="32" spans="1:13" ht="15.6" x14ac:dyDescent="0.3">
      <c r="B32" s="1"/>
      <c r="C32" s="281" t="s">
        <v>136</v>
      </c>
      <c r="D32" s="281"/>
      <c r="E32" s="281"/>
      <c r="F32" s="281"/>
      <c r="G32" s="281"/>
      <c r="H32" s="281"/>
      <c r="I32" s="281"/>
      <c r="J32" s="281"/>
      <c r="K32" s="281"/>
      <c r="L32" s="281"/>
      <c r="M32" s="281"/>
    </row>
    <row r="33" spans="2:13" ht="15.6" x14ac:dyDescent="0.3">
      <c r="C33" s="379" t="s">
        <v>130</v>
      </c>
      <c r="D33" s="380"/>
      <c r="E33" s="381"/>
      <c r="F33" s="382" t="s">
        <v>113</v>
      </c>
      <c r="G33" s="383"/>
      <c r="H33" s="383"/>
      <c r="I33" s="384"/>
      <c r="J33" s="281" t="s">
        <v>138</v>
      </c>
      <c r="K33" s="281"/>
      <c r="L33" s="281"/>
      <c r="M33" s="281"/>
    </row>
    <row r="34" spans="2:13" ht="18.600000000000001" x14ac:dyDescent="0.3">
      <c r="B34" s="1"/>
      <c r="C34" s="125" t="s">
        <v>110</v>
      </c>
      <c r="D34" s="125" t="s">
        <v>111</v>
      </c>
      <c r="E34" s="125" t="s">
        <v>129</v>
      </c>
      <c r="F34" s="125" t="s">
        <v>112</v>
      </c>
      <c r="G34" s="125" t="s">
        <v>114</v>
      </c>
      <c r="H34" s="130" t="s">
        <v>126</v>
      </c>
      <c r="I34" s="83" t="s">
        <v>128</v>
      </c>
      <c r="J34" s="125" t="s">
        <v>112</v>
      </c>
      <c r="K34" s="125" t="s">
        <v>114</v>
      </c>
      <c r="L34" s="130" t="s">
        <v>126</v>
      </c>
      <c r="M34" s="83" t="s">
        <v>128</v>
      </c>
    </row>
    <row r="35" spans="2:13" ht="15.6" x14ac:dyDescent="0.3">
      <c r="B35" s="83" t="s">
        <v>107</v>
      </c>
      <c r="C35" s="127">
        <f>R8</f>
        <v>30</v>
      </c>
      <c r="D35" s="127">
        <f>S8</f>
        <v>80</v>
      </c>
      <c r="E35" s="127">
        <f>C35*D35^3/12</f>
        <v>1280000</v>
      </c>
      <c r="F35" s="129">
        <v>12.1</v>
      </c>
      <c r="G35" s="126">
        <f>'Carichi unitari'!$M$4</f>
        <v>3.2</v>
      </c>
      <c r="H35" s="127">
        <f>E35*F35</f>
        <v>15488000</v>
      </c>
      <c r="I35" s="137">
        <f>(12*'Carichi unitari'!$M$9*H35/(G35^3))/100000000*(1/(1+0.5*(H35/G35*G36/H36+H35/G35*G37/H37)))</f>
        <v>701.05971366957715</v>
      </c>
      <c r="J35" s="129">
        <v>11.4</v>
      </c>
      <c r="K35" s="126">
        <f>'Carichi unitari'!$M$4</f>
        <v>3.2</v>
      </c>
      <c r="L35" s="127">
        <f>E35*J35</f>
        <v>14592000</v>
      </c>
      <c r="M35" s="137">
        <f>(12*'Carichi unitari'!$M$9*L35/(K35^3))/100000000*(1/(1+0.5*(L35/K35*K36/L36+L35/K35*K37/L37)))</f>
        <v>713.81095828769071</v>
      </c>
    </row>
    <row r="36" spans="2:13" ht="15.6" x14ac:dyDescent="0.3">
      <c r="B36" s="83" t="s">
        <v>108</v>
      </c>
      <c r="C36" s="127">
        <f>P8</f>
        <v>30</v>
      </c>
      <c r="D36" s="127">
        <f>Q8</f>
        <v>70</v>
      </c>
      <c r="E36" s="127">
        <f>C36*D36^3/12</f>
        <v>857500</v>
      </c>
      <c r="F36" s="129">
        <v>14</v>
      </c>
      <c r="G36" s="90">
        <v>4.5999999999999996</v>
      </c>
      <c r="H36" s="127">
        <f>E36*F36</f>
        <v>12005000</v>
      </c>
      <c r="I36" s="127"/>
      <c r="J36" s="129">
        <v>17</v>
      </c>
      <c r="K36" s="90">
        <v>5.2</v>
      </c>
      <c r="L36" s="127">
        <f>E36*J36</f>
        <v>14577500</v>
      </c>
      <c r="M36" s="127"/>
    </row>
    <row r="37" spans="2:13" ht="15.6" x14ac:dyDescent="0.3">
      <c r="B37" s="83" t="s">
        <v>109</v>
      </c>
      <c r="C37" s="127">
        <f>P9</f>
        <v>30</v>
      </c>
      <c r="D37" s="127">
        <f>Q9</f>
        <v>80</v>
      </c>
      <c r="E37" s="127">
        <f>C37*D37^3/12</f>
        <v>1280000</v>
      </c>
      <c r="F37" s="129">
        <v>14</v>
      </c>
      <c r="G37" s="90">
        <v>4.5999999999999996</v>
      </c>
      <c r="H37" s="127">
        <f>E37*F37</f>
        <v>17920000</v>
      </c>
      <c r="I37" s="127"/>
      <c r="J37" s="129">
        <v>17</v>
      </c>
      <c r="K37" s="90">
        <v>5.2</v>
      </c>
      <c r="L37" s="127">
        <f>E37*J37</f>
        <v>21760000</v>
      </c>
      <c r="M37" s="127"/>
    </row>
    <row r="39" spans="2:13" ht="15.6" x14ac:dyDescent="0.3">
      <c r="B39" s="1"/>
      <c r="C39" s="281" t="s">
        <v>137</v>
      </c>
      <c r="D39" s="281"/>
      <c r="E39" s="281"/>
      <c r="F39" s="281"/>
      <c r="G39" s="281"/>
      <c r="H39" s="281"/>
      <c r="I39" s="281"/>
      <c r="J39" s="281"/>
      <c r="K39" s="281"/>
      <c r="L39" s="281"/>
      <c r="M39" s="281"/>
    </row>
    <row r="40" spans="2:13" ht="15.6" x14ac:dyDescent="0.3">
      <c r="C40" s="379" t="s">
        <v>130</v>
      </c>
      <c r="D40" s="380"/>
      <c r="E40" s="381"/>
      <c r="F40" s="382" t="s">
        <v>113</v>
      </c>
      <c r="G40" s="383"/>
      <c r="H40" s="383"/>
      <c r="I40" s="384"/>
      <c r="J40" s="281" t="s">
        <v>138</v>
      </c>
      <c r="K40" s="281"/>
      <c r="L40" s="281"/>
      <c r="M40" s="281"/>
    </row>
    <row r="41" spans="2:13" ht="18.600000000000001" x14ac:dyDescent="0.3">
      <c r="B41" s="1"/>
      <c r="C41" s="125" t="s">
        <v>110</v>
      </c>
      <c r="D41" s="125" t="s">
        <v>111</v>
      </c>
      <c r="E41" s="125" t="s">
        <v>129</v>
      </c>
      <c r="F41" s="125" t="s">
        <v>112</v>
      </c>
      <c r="G41" s="125" t="s">
        <v>114</v>
      </c>
      <c r="H41" s="130" t="s">
        <v>126</v>
      </c>
      <c r="I41" s="83" t="s">
        <v>128</v>
      </c>
      <c r="J41" s="125" t="s">
        <v>112</v>
      </c>
      <c r="K41" s="125" t="s">
        <v>114</v>
      </c>
      <c r="L41" s="130" t="s">
        <v>126</v>
      </c>
      <c r="M41" s="83" t="s">
        <v>128</v>
      </c>
    </row>
    <row r="42" spans="2:13" ht="15.6" x14ac:dyDescent="0.3">
      <c r="B42" s="83" t="s">
        <v>107</v>
      </c>
      <c r="C42" s="127">
        <f>R9</f>
        <v>30</v>
      </c>
      <c r="D42" s="127">
        <f>S9</f>
        <v>80</v>
      </c>
      <c r="E42" s="127">
        <f>C42*D42^3/12</f>
        <v>1280000</v>
      </c>
      <c r="F42" s="129">
        <v>12.1</v>
      </c>
      <c r="G42" s="54">
        <f>'Carichi unitari'!M5+0.6</f>
        <v>3.6</v>
      </c>
      <c r="H42" s="127">
        <f>E42*F42</f>
        <v>15488000</v>
      </c>
      <c r="I42" s="137">
        <f>(12*'Carichi unitari'!$M$9*H42/(G42^3))/100000000*(1/(1+0.5*(H42/G42*G43/H43+H42/G42*G44/H44)))</f>
        <v>808.38280727463859</v>
      </c>
      <c r="J42" s="129">
        <v>11.4</v>
      </c>
      <c r="K42" s="126">
        <f>'Carichi unitari'!M5+0.6</f>
        <v>3.6</v>
      </c>
      <c r="L42" s="127">
        <f>E42*J42</f>
        <v>14592000</v>
      </c>
      <c r="M42" s="137">
        <f>(12*'Carichi unitari'!$M$9*L42/(K42^3))/100000000*(1/(1+0.5*(L42/K42*K43/L43+L42/K42*K44/L44)))</f>
        <v>796.44405938962905</v>
      </c>
    </row>
    <row r="43" spans="2:13" ht="15.6" x14ac:dyDescent="0.3">
      <c r="B43" s="83" t="s">
        <v>108</v>
      </c>
      <c r="C43" s="127">
        <f>P9</f>
        <v>30</v>
      </c>
      <c r="D43" s="127">
        <f>Q9</f>
        <v>80</v>
      </c>
      <c r="E43" s="127">
        <f>C43*D43^3/12</f>
        <v>1280000</v>
      </c>
      <c r="F43" s="129">
        <v>14</v>
      </c>
      <c r="G43" s="90">
        <v>4.5999999999999996</v>
      </c>
      <c r="H43" s="127">
        <f>E43*F43</f>
        <v>17920000</v>
      </c>
      <c r="I43" s="127"/>
      <c r="J43" s="129">
        <v>17</v>
      </c>
      <c r="K43" s="90">
        <v>5.2</v>
      </c>
      <c r="L43" s="127">
        <f>E43*J43</f>
        <v>21760000</v>
      </c>
      <c r="M43" s="127"/>
    </row>
    <row r="44" spans="2:13" ht="15.6" x14ac:dyDescent="0.3">
      <c r="B44" s="83" t="s">
        <v>109</v>
      </c>
      <c r="C44" s="127"/>
      <c r="D44" s="127"/>
      <c r="E44" s="127">
        <v>9999999999</v>
      </c>
      <c r="F44" s="129">
        <v>14</v>
      </c>
      <c r="G44" s="90">
        <v>4.5999999999999996</v>
      </c>
      <c r="H44" s="127">
        <f>E44*F44</f>
        <v>139999999986</v>
      </c>
      <c r="I44" s="127"/>
      <c r="J44" s="129">
        <v>17</v>
      </c>
      <c r="K44" s="90">
        <v>5.2</v>
      </c>
      <c r="L44" s="127">
        <f>E44*J44</f>
        <v>169999999983</v>
      </c>
      <c r="M44" s="127"/>
    </row>
    <row r="47" spans="2:13" ht="15.6" x14ac:dyDescent="0.3">
      <c r="B47" s="377" t="s">
        <v>82</v>
      </c>
      <c r="C47" s="376" t="s">
        <v>153</v>
      </c>
      <c r="D47" s="376" t="s">
        <v>154</v>
      </c>
      <c r="E47" s="1"/>
      <c r="F47" s="1"/>
      <c r="G47" s="1"/>
      <c r="H47" s="1"/>
      <c r="I47" s="1"/>
      <c r="J47" s="1"/>
      <c r="K47" s="1"/>
    </row>
    <row r="48" spans="2:13" ht="15.6" x14ac:dyDescent="0.3">
      <c r="B48" s="377"/>
      <c r="C48" s="376"/>
      <c r="D48" s="376"/>
      <c r="E48" s="1"/>
      <c r="F48" s="1"/>
      <c r="G48" s="1"/>
      <c r="H48" s="1"/>
      <c r="I48" s="1"/>
      <c r="J48" s="1"/>
      <c r="K48" s="1"/>
    </row>
    <row r="49" spans="2:11" ht="15.6" x14ac:dyDescent="0.3">
      <c r="B49" s="202" t="s">
        <v>65</v>
      </c>
      <c r="C49" s="213">
        <f>'Ap. globale'!I7</f>
        <v>279.71703678273002</v>
      </c>
      <c r="D49" s="213">
        <f>'Ap. globale'!M7</f>
        <v>285.61214520746728</v>
      </c>
      <c r="E49" s="1"/>
      <c r="F49" s="1"/>
      <c r="G49" s="1"/>
      <c r="H49" s="1"/>
      <c r="I49" s="1"/>
      <c r="J49" s="1"/>
      <c r="K49" s="1"/>
    </row>
    <row r="50" spans="2:11" ht="15.6" x14ac:dyDescent="0.3">
      <c r="B50" s="202">
        <v>5</v>
      </c>
      <c r="C50" s="213">
        <f>'Ap. globale'!I14</f>
        <v>336.12888525283682</v>
      </c>
      <c r="D50" s="213">
        <f>'Ap. globale'!M14</f>
        <v>339.82498845443342</v>
      </c>
      <c r="E50" s="1"/>
      <c r="F50" s="1"/>
      <c r="G50" s="1"/>
      <c r="H50" s="1"/>
      <c r="I50" s="1"/>
      <c r="J50" s="1"/>
      <c r="K50" s="1"/>
    </row>
    <row r="51" spans="2:11" ht="15.6" x14ac:dyDescent="0.3">
      <c r="B51" s="202">
        <v>4</v>
      </c>
      <c r="C51" s="213">
        <f>'Ap. globale'!I21</f>
        <v>458.99820675576808</v>
      </c>
      <c r="D51" s="213">
        <f>'Ap. globale'!M21</f>
        <v>467.900089826552</v>
      </c>
      <c r="E51" s="1"/>
      <c r="F51" s="1"/>
      <c r="G51" s="1"/>
      <c r="H51" s="1"/>
      <c r="I51" s="1"/>
      <c r="J51" s="1"/>
      <c r="K51" s="1"/>
    </row>
    <row r="52" spans="2:11" ht="15.6" x14ac:dyDescent="0.3">
      <c r="B52" s="202">
        <v>3</v>
      </c>
      <c r="C52" s="213">
        <f>'Ap. globale'!I28</f>
        <v>533.7602205635327</v>
      </c>
      <c r="D52" s="213">
        <f>'Ap. globale'!M28</f>
        <v>539.62949555495675</v>
      </c>
      <c r="E52" s="1"/>
      <c r="F52" s="1"/>
      <c r="G52" s="1"/>
      <c r="H52" s="1"/>
      <c r="I52" s="1"/>
      <c r="J52" s="1"/>
      <c r="K52" s="1"/>
    </row>
    <row r="53" spans="2:11" ht="15.6" x14ac:dyDescent="0.3">
      <c r="B53" s="202">
        <v>2</v>
      </c>
      <c r="C53" s="213">
        <f>'Ap. globale'!I35</f>
        <v>701.05971366957715</v>
      </c>
      <c r="D53" s="213">
        <f>'Ap. globale'!M35</f>
        <v>713.81095828769071</v>
      </c>
      <c r="E53" s="1"/>
      <c r="F53" s="1"/>
      <c r="G53" s="1"/>
      <c r="H53" s="1"/>
      <c r="I53" s="1"/>
      <c r="J53" s="1"/>
      <c r="K53" s="1"/>
    </row>
    <row r="54" spans="2:11" ht="15.6" x14ac:dyDescent="0.3">
      <c r="B54" s="202">
        <v>1</v>
      </c>
      <c r="C54" s="213">
        <f>'Ap. globale'!I42</f>
        <v>808.38280727463859</v>
      </c>
      <c r="D54" s="213">
        <f>'Ap. globale'!M42</f>
        <v>796.44405938962905</v>
      </c>
      <c r="E54" s="1"/>
      <c r="F54" s="1"/>
      <c r="G54" s="1"/>
      <c r="H54" s="1"/>
      <c r="I54" s="1"/>
      <c r="J54" s="1"/>
      <c r="K54" s="1"/>
    </row>
    <row r="55" spans="2:11" ht="15.6" x14ac:dyDescent="0.3">
      <c r="B55" s="1"/>
      <c r="C55" s="203"/>
      <c r="D55" s="203"/>
      <c r="E55" s="1"/>
      <c r="F55" s="1"/>
      <c r="G55" s="1"/>
      <c r="H55" s="1"/>
      <c r="I55" s="1"/>
      <c r="J55" s="1"/>
      <c r="K55" s="1"/>
    </row>
    <row r="56" spans="2:11" ht="16.2" thickBot="1" x14ac:dyDescent="0.35">
      <c r="B56" s="375" t="s">
        <v>113</v>
      </c>
      <c r="C56" s="375"/>
      <c r="D56" s="375"/>
      <c r="E56" s="375"/>
      <c r="F56" s="375"/>
      <c r="G56" s="375"/>
      <c r="H56" s="375"/>
      <c r="I56" s="375"/>
      <c r="J56" s="375"/>
      <c r="K56" s="375"/>
    </row>
    <row r="57" spans="2:11" x14ac:dyDescent="0.3">
      <c r="B57" s="369" t="s">
        <v>82</v>
      </c>
      <c r="C57" s="362" t="s">
        <v>78</v>
      </c>
      <c r="D57" s="371" t="s">
        <v>79</v>
      </c>
      <c r="E57" s="373" t="s">
        <v>153</v>
      </c>
      <c r="F57" s="373" t="s">
        <v>155</v>
      </c>
      <c r="G57" s="373" t="s">
        <v>151</v>
      </c>
      <c r="H57" s="362" t="s">
        <v>69</v>
      </c>
      <c r="I57" s="364" t="s">
        <v>152</v>
      </c>
      <c r="J57" s="378" t="s">
        <v>156</v>
      </c>
      <c r="K57" s="367" t="s">
        <v>158</v>
      </c>
    </row>
    <row r="58" spans="2:11" ht="15" thickBot="1" x14ac:dyDescent="0.35">
      <c r="B58" s="370"/>
      <c r="C58" s="363"/>
      <c r="D58" s="372"/>
      <c r="E58" s="374"/>
      <c r="F58" s="374"/>
      <c r="G58" s="374"/>
      <c r="H58" s="363"/>
      <c r="I58" s="365"/>
      <c r="J58" s="378"/>
      <c r="K58" s="368"/>
    </row>
    <row r="59" spans="2:11" ht="16.2" thickBot="1" x14ac:dyDescent="0.35">
      <c r="B59" s="214" t="s">
        <v>65</v>
      </c>
      <c r="C59" s="61">
        <f>'Ap. tipologi di pila '!B273</f>
        <v>702.52801374707826</v>
      </c>
      <c r="D59" s="61">
        <f>'Ap. tipologi di pila '!C273</f>
        <v>702.52801374707826</v>
      </c>
      <c r="E59" s="61">
        <f t="shared" ref="E59:E64" si="0">C49</f>
        <v>279.71703678273002</v>
      </c>
      <c r="F59" s="61">
        <f t="shared" ref="F59:F64" si="1">D59/E59</f>
        <v>2.5115667669994886</v>
      </c>
      <c r="G59" s="61">
        <f>F59+G60</f>
        <v>22.164026456667568</v>
      </c>
      <c r="H59" s="61">
        <f>'Ap. tipologi di pila '!G273</f>
        <v>371.55963302752292</v>
      </c>
      <c r="I59" s="61">
        <f t="shared" ref="I59:I64" si="2">C59*G59</f>
        <v>15570.849483240359</v>
      </c>
      <c r="J59" s="215">
        <f t="shared" ref="J59:J64" si="3">H59/1000*G59^2</f>
        <v>182.52646591981949</v>
      </c>
      <c r="K59" s="216">
        <f>2*3.14*SQRT(J65/I65)</f>
        <v>0.68727531457601898</v>
      </c>
    </row>
    <row r="60" spans="2:11" ht="15.6" x14ac:dyDescent="0.3">
      <c r="B60" s="202">
        <v>5</v>
      </c>
      <c r="C60" s="61">
        <f>'Ap. tipologi di pila '!B274</f>
        <v>669.27096967646708</v>
      </c>
      <c r="D60" s="61">
        <f>'Ap. tipologi di pila '!C274</f>
        <v>1371.7989834235455</v>
      </c>
      <c r="E60" s="61">
        <f t="shared" si="0"/>
        <v>336.12888525283682</v>
      </c>
      <c r="F60" s="61">
        <f t="shared" si="1"/>
        <v>4.0811695858619101</v>
      </c>
      <c r="G60" s="61">
        <f>F60+G61</f>
        <v>19.652459689668078</v>
      </c>
      <c r="H60" s="61">
        <f>'Ap. tipologi di pila '!G274</f>
        <v>423.03771661569823</v>
      </c>
      <c r="I60" s="61">
        <f t="shared" si="2"/>
        <v>13152.820753031836</v>
      </c>
      <c r="J60" s="61">
        <f t="shared" si="3"/>
        <v>163.38527657433426</v>
      </c>
      <c r="K60" s="1"/>
    </row>
    <row r="61" spans="2:11" ht="15.6" x14ac:dyDescent="0.3">
      <c r="B61" s="202">
        <v>4</v>
      </c>
      <c r="C61" s="61">
        <f>'Ap. tipologi di pila '!B275</f>
        <v>538.68151217861976</v>
      </c>
      <c r="D61" s="61">
        <f>'Ap. tipologi di pila '!C275</f>
        <v>1910.4804956021653</v>
      </c>
      <c r="E61" s="61">
        <f t="shared" si="0"/>
        <v>458.99820675576808</v>
      </c>
      <c r="F61" s="61">
        <f t="shared" si="1"/>
        <v>4.1622831363668658</v>
      </c>
      <c r="G61" s="61">
        <f>F61+G62</f>
        <v>15.571290103806167</v>
      </c>
      <c r="H61" s="61">
        <f>'Ap. tipologi di pila '!G275</f>
        <v>423.03771661569823</v>
      </c>
      <c r="I61" s="61">
        <f t="shared" si="2"/>
        <v>8387.9660996902821</v>
      </c>
      <c r="J61" s="61">
        <f t="shared" si="3"/>
        <v>102.57187189725802</v>
      </c>
      <c r="K61" s="1"/>
    </row>
    <row r="62" spans="2:11" ht="15.6" x14ac:dyDescent="0.3">
      <c r="B62" s="202">
        <v>3</v>
      </c>
      <c r="C62" s="61">
        <f>'Ap. tipologi di pila '!B276</f>
        <v>408.09205468077261</v>
      </c>
      <c r="D62" s="61">
        <f>'Ap. tipologi di pila '!C276</f>
        <v>2318.5725502829378</v>
      </c>
      <c r="E62" s="61">
        <f t="shared" si="0"/>
        <v>533.7602205635327</v>
      </c>
      <c r="F62" s="61">
        <f t="shared" si="1"/>
        <v>4.3438466580275277</v>
      </c>
      <c r="G62" s="61">
        <f>F62+G63</f>
        <v>11.4090069674393</v>
      </c>
      <c r="H62" s="61">
        <f>'Ap. tipologi di pila '!G276</f>
        <v>423.03771661569823</v>
      </c>
      <c r="I62" s="61">
        <f t="shared" si="2"/>
        <v>4655.9250952095545</v>
      </c>
      <c r="J62" s="61">
        <f t="shared" si="3"/>
        <v>55.064890512719238</v>
      </c>
      <c r="K62" s="1"/>
    </row>
    <row r="63" spans="2:11" ht="15.6" x14ac:dyDescent="0.3">
      <c r="B63" s="202">
        <v>2</v>
      </c>
      <c r="C63" s="61">
        <f>'Ap. tipologi di pila '!B277</f>
        <v>277.5025971829254</v>
      </c>
      <c r="D63" s="61">
        <f>'Ap. tipologi di pila '!C277</f>
        <v>2596.0751474658632</v>
      </c>
      <c r="E63" s="61">
        <f t="shared" si="0"/>
        <v>701.05971366957715</v>
      </c>
      <c r="F63" s="61">
        <f t="shared" si="1"/>
        <v>3.7030727865921036</v>
      </c>
      <c r="G63" s="61">
        <f>F63+G64</f>
        <v>7.0651603094117732</v>
      </c>
      <c r="H63" s="61">
        <f>'Ap. tipologi di pila '!G277</f>
        <v>423.03771661569823</v>
      </c>
      <c r="I63" s="61">
        <f t="shared" si="2"/>
        <v>1960.6003353754879</v>
      </c>
      <c r="J63" s="61">
        <f t="shared" si="3"/>
        <v>21.116558034699587</v>
      </c>
      <c r="K63" s="1"/>
    </row>
    <row r="64" spans="2:11" ht="15.6" x14ac:dyDescent="0.3">
      <c r="B64" s="202">
        <v>1</v>
      </c>
      <c r="C64" s="61">
        <f>'Ap. tipologi di pila '!B278</f>
        <v>121.77860253413705</v>
      </c>
      <c r="D64" s="61">
        <f>'Ap. tipologi di pila '!C278</f>
        <v>2717.8537500000002</v>
      </c>
      <c r="E64" s="61">
        <f t="shared" si="0"/>
        <v>808.38280727463859</v>
      </c>
      <c r="F64" s="61">
        <f t="shared" si="1"/>
        <v>3.3620875228196696</v>
      </c>
      <c r="G64" s="61">
        <f>F64</f>
        <v>3.3620875228196696</v>
      </c>
      <c r="H64" s="61">
        <f>'Ap. tipologi di pila '!G278</f>
        <v>350.66258919469925</v>
      </c>
      <c r="I64" s="61">
        <f t="shared" si="2"/>
        <v>409.43032012643795</v>
      </c>
      <c r="J64" s="61">
        <f t="shared" si="3"/>
        <v>3.963761043647601</v>
      </c>
      <c r="K64" s="1"/>
    </row>
    <row r="65" spans="2:11" ht="15.6" x14ac:dyDescent="0.3">
      <c r="B65" s="82" t="s">
        <v>157</v>
      </c>
      <c r="C65" s="67"/>
      <c r="D65" s="67"/>
      <c r="E65" s="212"/>
      <c r="F65" s="212"/>
      <c r="G65" s="212"/>
      <c r="H65" s="61"/>
      <c r="I65" s="61">
        <f>I59+I60+I61+I62+I63+I64</f>
        <v>44137.592086673962</v>
      </c>
      <c r="J65" s="61">
        <f>J59+J60+J61+J62+J63+J64</f>
        <v>528.62882398247814</v>
      </c>
      <c r="K65" s="1"/>
    </row>
    <row r="66" spans="2:11" ht="15.6" x14ac:dyDescent="0.3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2:11" ht="16.2" thickBot="1" x14ac:dyDescent="0.35">
      <c r="B67" s="375" t="s">
        <v>138</v>
      </c>
      <c r="C67" s="375"/>
      <c r="D67" s="375"/>
      <c r="E67" s="375"/>
      <c r="F67" s="375"/>
      <c r="G67" s="375"/>
      <c r="H67" s="375"/>
      <c r="I67" s="375"/>
      <c r="J67" s="375"/>
      <c r="K67" s="375"/>
    </row>
    <row r="68" spans="2:11" x14ac:dyDescent="0.3">
      <c r="B68" s="369" t="s">
        <v>82</v>
      </c>
      <c r="C68" s="362" t="s">
        <v>78</v>
      </c>
      <c r="D68" s="371" t="s">
        <v>79</v>
      </c>
      <c r="E68" s="373" t="s">
        <v>154</v>
      </c>
      <c r="F68" s="373" t="s">
        <v>155</v>
      </c>
      <c r="G68" s="373" t="s">
        <v>151</v>
      </c>
      <c r="H68" s="362" t="s">
        <v>69</v>
      </c>
      <c r="I68" s="364" t="s">
        <v>152</v>
      </c>
      <c r="J68" s="366" t="s">
        <v>156</v>
      </c>
      <c r="K68" s="367" t="s">
        <v>158</v>
      </c>
    </row>
    <row r="69" spans="2:11" ht="15" thickBot="1" x14ac:dyDescent="0.35">
      <c r="B69" s="370"/>
      <c r="C69" s="363"/>
      <c r="D69" s="372"/>
      <c r="E69" s="374"/>
      <c r="F69" s="374"/>
      <c r="G69" s="374"/>
      <c r="H69" s="363"/>
      <c r="I69" s="365"/>
      <c r="J69" s="366"/>
      <c r="K69" s="368"/>
    </row>
    <row r="70" spans="2:11" ht="16.2" thickBot="1" x14ac:dyDescent="0.35">
      <c r="B70" s="214" t="s">
        <v>65</v>
      </c>
      <c r="C70" s="61">
        <f>'Ap. tipologi di pila '!M273</f>
        <v>702.52801374707826</v>
      </c>
      <c r="D70" s="61">
        <f>'Ap. tipologi di pila '!N273</f>
        <v>702.52801374707826</v>
      </c>
      <c r="E70" s="61">
        <f t="shared" ref="E70:E75" si="4">D49</f>
        <v>285.61214520746728</v>
      </c>
      <c r="F70" s="61">
        <f t="shared" ref="F70:F75" si="5">D70/E70</f>
        <v>2.4597273804192232</v>
      </c>
      <c r="G70" s="61">
        <f>F70+G71</f>
        <v>21.925611919728787</v>
      </c>
      <c r="H70" s="61">
        <f>'Ap. tipologi di pila '!R273</f>
        <v>371.55963302752292</v>
      </c>
      <c r="I70" s="61">
        <f t="shared" ref="I70:I75" si="6">C70*G70</f>
        <v>15403.356592156328</v>
      </c>
      <c r="J70" s="61">
        <f t="shared" ref="J70:J75" si="7">H70/1000*G70^2</f>
        <v>178.6207756991688</v>
      </c>
      <c r="K70" s="216">
        <f>2*3.14*SQRT(J76/I76)</f>
        <v>0.68416392755047595</v>
      </c>
    </row>
    <row r="71" spans="2:11" ht="15.6" x14ac:dyDescent="0.3">
      <c r="B71" s="202">
        <v>5</v>
      </c>
      <c r="C71" s="61">
        <f>'Ap. tipologi di pila '!M274</f>
        <v>669.27096967646708</v>
      </c>
      <c r="D71" s="61">
        <f>'Ap. tipologi di pila '!N274</f>
        <v>1371.7989834235455</v>
      </c>
      <c r="E71" s="61">
        <f t="shared" si="4"/>
        <v>339.82498845443342</v>
      </c>
      <c r="F71" s="61">
        <f t="shared" si="5"/>
        <v>4.0367807843168304</v>
      </c>
      <c r="G71" s="61">
        <f>F71+G72</f>
        <v>19.465884539309563</v>
      </c>
      <c r="H71" s="61">
        <f>'Ap. tipologi di pila '!R274</f>
        <v>423.03771661569823</v>
      </c>
      <c r="I71" s="61">
        <f t="shared" si="6"/>
        <v>13027.95142123386</v>
      </c>
      <c r="J71" s="61">
        <f t="shared" si="7"/>
        <v>160.29773116468743</v>
      </c>
    </row>
    <row r="72" spans="2:11" ht="15.6" x14ac:dyDescent="0.3">
      <c r="B72" s="202">
        <v>4</v>
      </c>
      <c r="C72" s="61">
        <f>'Ap. tipologi di pila '!M275</f>
        <v>538.68151217861976</v>
      </c>
      <c r="D72" s="61">
        <f>'Ap. tipologi di pila '!N275</f>
        <v>1910.4804956021653</v>
      </c>
      <c r="E72" s="61">
        <f t="shared" si="4"/>
        <v>467.900089826552</v>
      </c>
      <c r="F72" s="61">
        <f t="shared" si="5"/>
        <v>4.0830949536905834</v>
      </c>
      <c r="G72" s="61">
        <f>F72+G73</f>
        <v>15.429103754992731</v>
      </c>
      <c r="H72" s="61">
        <f>'Ap. tipologi di pila '!R275</f>
        <v>423.03771661569823</v>
      </c>
      <c r="I72" s="61">
        <f t="shared" si="6"/>
        <v>8311.3729423003042</v>
      </c>
      <c r="J72" s="61">
        <f t="shared" si="7"/>
        <v>100.70719236816235</v>
      </c>
    </row>
    <row r="73" spans="2:11" ht="15.6" x14ac:dyDescent="0.3">
      <c r="B73" s="202">
        <v>3</v>
      </c>
      <c r="C73" s="61">
        <f>'Ap. tipologi di pila '!M276</f>
        <v>408.09205468077261</v>
      </c>
      <c r="D73" s="61">
        <f>'Ap. tipologi di pila '!N276</f>
        <v>2318.5725502829378</v>
      </c>
      <c r="E73" s="61">
        <f t="shared" si="4"/>
        <v>539.62949555495675</v>
      </c>
      <c r="F73" s="61">
        <f t="shared" si="5"/>
        <v>4.2966008518465246</v>
      </c>
      <c r="G73" s="61">
        <f>F73+G74</f>
        <v>11.346008801302148</v>
      </c>
      <c r="H73" s="61">
        <f>'Ap. tipologi di pila '!R276</f>
        <v>423.03771661569823</v>
      </c>
      <c r="I73" s="61">
        <f t="shared" si="6"/>
        <v>4630.2160441495234</v>
      </c>
      <c r="J73" s="61">
        <f t="shared" si="7"/>
        <v>54.458455681425797</v>
      </c>
    </row>
    <row r="74" spans="2:11" ht="15.6" x14ac:dyDescent="0.3">
      <c r="B74" s="202">
        <v>2</v>
      </c>
      <c r="C74" s="61">
        <f>'Ap. tipologi di pila '!M277</f>
        <v>277.5025971829254</v>
      </c>
      <c r="D74" s="61">
        <f>'Ap. tipologi di pila '!N277</f>
        <v>2596.0751474658632</v>
      </c>
      <c r="E74" s="61">
        <f t="shared" si="4"/>
        <v>713.81095828769071</v>
      </c>
      <c r="F74" s="61">
        <f t="shared" si="5"/>
        <v>3.6369225175435798</v>
      </c>
      <c r="G74" s="61">
        <f>F74+G75</f>
        <v>7.0494079494556239</v>
      </c>
      <c r="H74" s="61">
        <f>'Ap. tipologi di pila '!R277</f>
        <v>423.03771661569823</v>
      </c>
      <c r="I74" s="61">
        <f t="shared" si="6"/>
        <v>1956.2290145758961</v>
      </c>
      <c r="J74" s="61">
        <f t="shared" si="7"/>
        <v>21.022500776459712</v>
      </c>
    </row>
    <row r="75" spans="2:11" ht="15.6" x14ac:dyDescent="0.3">
      <c r="B75" s="202">
        <v>1</v>
      </c>
      <c r="C75" s="61">
        <f>'Ap. tipologi di pila '!M278</f>
        <v>121.77860253413705</v>
      </c>
      <c r="D75" s="61">
        <f>'Ap. tipologi di pila '!N278</f>
        <v>2717.8537500000002</v>
      </c>
      <c r="E75" s="61">
        <f t="shared" si="4"/>
        <v>796.44405938962905</v>
      </c>
      <c r="F75" s="61">
        <f t="shared" si="5"/>
        <v>3.4124854319120446</v>
      </c>
      <c r="G75" s="61">
        <f>F75</f>
        <v>3.4124854319120446</v>
      </c>
      <c r="H75" s="61">
        <f>'Ap. tipologi di pila '!R278</f>
        <v>350.66258919469925</v>
      </c>
      <c r="I75" s="61">
        <f t="shared" si="6"/>
        <v>415.5677070663499</v>
      </c>
      <c r="J75" s="61">
        <f t="shared" si="7"/>
        <v>4.0834857768767625</v>
      </c>
    </row>
    <row r="76" spans="2:11" ht="15.6" x14ac:dyDescent="0.3">
      <c r="B76" s="82" t="s">
        <v>157</v>
      </c>
      <c r="C76" s="67"/>
      <c r="D76" s="67"/>
      <c r="E76" s="212"/>
      <c r="F76" s="212"/>
      <c r="G76" s="212"/>
      <c r="H76" s="61"/>
      <c r="I76" s="61">
        <f>I70+I71+I72+I73+I74+I75</f>
        <v>43744.693721482261</v>
      </c>
      <c r="J76" s="61">
        <f>J70+J71+J72+J73+J74+J75</f>
        <v>519.1901414667808</v>
      </c>
    </row>
  </sheetData>
  <mergeCells count="52">
    <mergeCell ref="C11:M11"/>
    <mergeCell ref="C12:E12"/>
    <mergeCell ref="F12:I12"/>
    <mergeCell ref="J12:M12"/>
    <mergeCell ref="O2:O3"/>
    <mergeCell ref="P2:Q3"/>
    <mergeCell ref="R2:S3"/>
    <mergeCell ref="C5:E5"/>
    <mergeCell ref="F5:I5"/>
    <mergeCell ref="J5:M5"/>
    <mergeCell ref="C4:M4"/>
    <mergeCell ref="C18:M18"/>
    <mergeCell ref="C19:E19"/>
    <mergeCell ref="F19:I19"/>
    <mergeCell ref="J19:M19"/>
    <mergeCell ref="C25:M25"/>
    <mergeCell ref="C39:M39"/>
    <mergeCell ref="C40:E40"/>
    <mergeCell ref="F40:I40"/>
    <mergeCell ref="J40:M40"/>
    <mergeCell ref="C26:E26"/>
    <mergeCell ref="F26:I26"/>
    <mergeCell ref="J26:M26"/>
    <mergeCell ref="C32:M32"/>
    <mergeCell ref="C33:E33"/>
    <mergeCell ref="F33:I33"/>
    <mergeCell ref="J33:M33"/>
    <mergeCell ref="B56:K56"/>
    <mergeCell ref="B67:K67"/>
    <mergeCell ref="D47:D48"/>
    <mergeCell ref="C47:C48"/>
    <mergeCell ref="B47:B48"/>
    <mergeCell ref="K57:K58"/>
    <mergeCell ref="E57:E58"/>
    <mergeCell ref="F57:F58"/>
    <mergeCell ref="G57:G58"/>
    <mergeCell ref="H57:H58"/>
    <mergeCell ref="I57:I58"/>
    <mergeCell ref="J57:J58"/>
    <mergeCell ref="D57:D58"/>
    <mergeCell ref="C57:C58"/>
    <mergeCell ref="B57:B58"/>
    <mergeCell ref="H68:H69"/>
    <mergeCell ref="I68:I69"/>
    <mergeCell ref="J68:J69"/>
    <mergeCell ref="K68:K69"/>
    <mergeCell ref="B68:B69"/>
    <mergeCell ref="C68:C69"/>
    <mergeCell ref="D68:D69"/>
    <mergeCell ref="E68:E69"/>
    <mergeCell ref="F68:F69"/>
    <mergeCell ref="G68:G69"/>
  </mergeCells>
  <pageMargins left="0.7" right="0.7" top="0.75" bottom="0.75" header="0.3" footer="0.3"/>
  <pageSetup paperSize="9" orientation="portrait" horizontalDpi="360" verticalDpi="360" r:id="rId1"/>
  <ignoredErrors>
    <ignoredError sqref="Q4:Q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301"/>
  <sheetViews>
    <sheetView topLeftCell="A211" zoomScale="85" zoomScaleNormal="85" workbookViewId="0">
      <selection activeCell="E284" sqref="E284:F291"/>
    </sheetView>
  </sheetViews>
  <sheetFormatPr defaultRowHeight="14.4" x14ac:dyDescent="0.3"/>
  <cols>
    <col min="1" max="1" width="10.6640625" customWidth="1"/>
    <col min="2" max="2" width="10.109375" customWidth="1"/>
    <col min="3" max="3" width="10" customWidth="1"/>
    <col min="4" max="4" width="9.5546875" customWidth="1"/>
    <col min="5" max="7" width="8.77734375" customWidth="1"/>
    <col min="8" max="12" width="11.88671875" customWidth="1"/>
    <col min="13" max="14" width="8.77734375" customWidth="1"/>
    <col min="15" max="15" width="10.6640625" customWidth="1"/>
    <col min="16" max="18" width="8.77734375" customWidth="1"/>
    <col min="19" max="19" width="12" customWidth="1"/>
    <col min="20" max="25" width="8.77734375" customWidth="1"/>
    <col min="26" max="42" width="10.77734375" customWidth="1"/>
  </cols>
  <sheetData>
    <row r="2" spans="1:23" ht="15" thickBot="1" x14ac:dyDescent="0.35"/>
    <row r="3" spans="1:23" ht="16.2" thickBot="1" x14ac:dyDescent="0.35">
      <c r="A3" s="1"/>
      <c r="B3" s="404" t="s">
        <v>106</v>
      </c>
      <c r="C3" s="405"/>
      <c r="D3" s="405"/>
      <c r="E3" s="405"/>
      <c r="F3" s="405"/>
      <c r="G3" s="405"/>
      <c r="H3" s="406"/>
      <c r="I3" s="207"/>
      <c r="J3" s="207"/>
      <c r="K3" s="207"/>
      <c r="L3" s="207"/>
      <c r="M3" s="398" t="s">
        <v>113</v>
      </c>
      <c r="N3" s="399"/>
      <c r="O3" s="398" t="s">
        <v>138</v>
      </c>
      <c r="P3" s="399"/>
      <c r="Q3" s="148"/>
      <c r="R3" s="148"/>
      <c r="S3" s="385" t="s">
        <v>132</v>
      </c>
      <c r="T3" s="377" t="s">
        <v>124</v>
      </c>
      <c r="U3" s="377"/>
      <c r="V3" s="377" t="s">
        <v>121</v>
      </c>
      <c r="W3" s="377"/>
    </row>
    <row r="4" spans="1:23" ht="19.2" thickBot="1" x14ac:dyDescent="0.35">
      <c r="B4" s="151" t="s">
        <v>110</v>
      </c>
      <c r="C4" s="152" t="s">
        <v>111</v>
      </c>
      <c r="D4" s="152" t="s">
        <v>129</v>
      </c>
      <c r="E4" s="152" t="s">
        <v>114</v>
      </c>
      <c r="F4" s="152" t="s">
        <v>140</v>
      </c>
      <c r="G4" s="152"/>
      <c r="H4" s="153" t="s">
        <v>128</v>
      </c>
      <c r="I4" s="152" t="s">
        <v>114</v>
      </c>
      <c r="J4" s="152" t="s">
        <v>140</v>
      </c>
      <c r="K4" s="152"/>
      <c r="L4" s="153" t="s">
        <v>128</v>
      </c>
      <c r="M4" s="151" t="s">
        <v>112</v>
      </c>
      <c r="N4" s="154" t="s">
        <v>146</v>
      </c>
      <c r="O4" s="151" t="s">
        <v>112</v>
      </c>
      <c r="P4" s="154" t="s">
        <v>146</v>
      </c>
      <c r="R4" s="145"/>
      <c r="S4" s="385"/>
      <c r="T4" s="377"/>
      <c r="U4" s="377"/>
      <c r="V4" s="377"/>
      <c r="W4" s="377"/>
    </row>
    <row r="5" spans="1:23" ht="20.399999999999999" customHeight="1" thickBot="1" x14ac:dyDescent="0.35">
      <c r="B5" s="392" t="s">
        <v>139</v>
      </c>
      <c r="C5" s="393"/>
      <c r="D5" s="393"/>
      <c r="E5" s="393"/>
      <c r="F5" s="393"/>
      <c r="G5" s="393"/>
      <c r="H5" s="393"/>
      <c r="I5" s="396"/>
      <c r="J5" s="396"/>
      <c r="K5" s="396"/>
      <c r="L5" s="396"/>
      <c r="M5" s="393"/>
      <c r="N5" s="393"/>
      <c r="O5" s="393"/>
      <c r="P5" s="394"/>
      <c r="R5" s="146"/>
      <c r="S5" s="133">
        <v>6</v>
      </c>
      <c r="T5" s="129">
        <f>'Car. sol'!G28</f>
        <v>30</v>
      </c>
      <c r="U5" s="129">
        <f>'Car. sol'!H28</f>
        <v>50</v>
      </c>
      <c r="V5" s="96">
        <f>'Car. sol'!G38</f>
        <v>30</v>
      </c>
      <c r="W5" s="129">
        <f>'Car. sol'!H38</f>
        <v>60</v>
      </c>
    </row>
    <row r="6" spans="1:23" ht="15.6" x14ac:dyDescent="0.3">
      <c r="A6" s="155" t="s">
        <v>107</v>
      </c>
      <c r="B6" s="160">
        <f>$V$5</f>
        <v>30</v>
      </c>
      <c r="C6" s="161">
        <f>$W$5</f>
        <v>60</v>
      </c>
      <c r="D6" s="161">
        <f>B6*C6^3/12</f>
        <v>540000</v>
      </c>
      <c r="E6" s="161">
        <f>'Carichi unitari'!$M$4</f>
        <v>3.2</v>
      </c>
      <c r="F6" s="162">
        <f>D6/(100*E6)</f>
        <v>1687.5</v>
      </c>
      <c r="G6" s="161"/>
      <c r="H6" s="234">
        <f>12*'Carichi unitari'!$M$9*F6/E6^2/1000000/(1+0.5*(F6/G7+F6/G8))</f>
        <v>21.03942597948155</v>
      </c>
      <c r="I6" s="160">
        <f>'Carichi unitari'!$M$4</f>
        <v>3.2</v>
      </c>
      <c r="J6" s="162">
        <f>D6/(100*I6)</f>
        <v>1687.5</v>
      </c>
      <c r="K6" s="162"/>
      <c r="L6" s="163">
        <f>12*'Carichi unitari'!$M$9*J6/I6^2/1000000/(1+0.5*(J6/K7+J6/K8))</f>
        <v>19.366541417301409</v>
      </c>
      <c r="M6" s="190">
        <v>7</v>
      </c>
      <c r="N6" s="163">
        <f>H6*M6+H9*M9+H16*M16+H20*M20+H23*M23+H27*M27+H30*M30+H34*M34+H39*M39+H13*M13</f>
        <v>305.97399348002</v>
      </c>
      <c r="O6" s="165">
        <v>9</v>
      </c>
      <c r="P6" s="163">
        <f>L6*O6+L9*O9+L16*O16+L20*O20+L23*O23+L27*O27+L30*O30+L34*O34+L13*O13+L39*O39</f>
        <v>295.57514354998716</v>
      </c>
      <c r="Q6" s="66"/>
      <c r="R6" s="118"/>
      <c r="S6" s="132">
        <v>5</v>
      </c>
      <c r="T6" s="129">
        <f>'Car. sol'!G29</f>
        <v>30</v>
      </c>
      <c r="U6" s="129">
        <f>'Car. sol'!H29</f>
        <v>60</v>
      </c>
      <c r="V6" s="96">
        <f>'Car. sol'!G39</f>
        <v>30</v>
      </c>
      <c r="W6" s="129">
        <f>'Car. sol'!H39</f>
        <v>60</v>
      </c>
    </row>
    <row r="7" spans="1:23" ht="15.6" x14ac:dyDescent="0.3">
      <c r="A7" s="156" t="s">
        <v>108</v>
      </c>
      <c r="B7" s="166">
        <f>$T$5</f>
        <v>30</v>
      </c>
      <c r="C7" s="54">
        <f>$U$5</f>
        <v>50</v>
      </c>
      <c r="D7" s="54">
        <f t="shared" ref="D7:D11" si="0">B7*C7^3/12</f>
        <v>312500</v>
      </c>
      <c r="E7" s="90">
        <v>4.5999999999999996</v>
      </c>
      <c r="F7" s="167">
        <f t="shared" ref="F7:F11" si="1">D7/(100*E7)</f>
        <v>679.34782608695662</v>
      </c>
      <c r="G7" s="167">
        <f>(F7+F7)/2</f>
        <v>679.34782608695662</v>
      </c>
      <c r="H7" s="244">
        <f>H6/$H$6</f>
        <v>1</v>
      </c>
      <c r="I7" s="179">
        <v>5.2</v>
      </c>
      <c r="J7" s="167">
        <f t="shared" ref="J7:J11" si="2">D7/(100*I7)</f>
        <v>600.96153846153845</v>
      </c>
      <c r="K7" s="167">
        <f>(J7+J7)/2</f>
        <v>600.96153846153845</v>
      </c>
      <c r="L7" s="242">
        <f>L6/L6</f>
        <v>1</v>
      </c>
      <c r="M7" s="191"/>
      <c r="N7" s="243">
        <f>N6/H6</f>
        <v>14.542886948456555</v>
      </c>
      <c r="O7" s="169"/>
      <c r="P7" s="243">
        <f>P6/L6</f>
        <v>15.262154309386929</v>
      </c>
      <c r="Q7" s="67"/>
      <c r="R7" s="118"/>
      <c r="S7" s="132">
        <v>4</v>
      </c>
      <c r="T7" s="129">
        <f>'Car. sol'!G30</f>
        <v>30</v>
      </c>
      <c r="U7" s="129">
        <f>'Car. sol'!H30</f>
        <v>60</v>
      </c>
      <c r="V7" s="96">
        <f>'Car. sol'!G40</f>
        <v>30</v>
      </c>
      <c r="W7" s="129">
        <f>'Car. sol'!H40</f>
        <v>70</v>
      </c>
    </row>
    <row r="8" spans="1:23" ht="16.2" thickBot="1" x14ac:dyDescent="0.35">
      <c r="A8" s="158" t="s">
        <v>109</v>
      </c>
      <c r="B8" s="170">
        <f>$T$6</f>
        <v>30</v>
      </c>
      <c r="C8" s="171">
        <f>$U$6</f>
        <v>60</v>
      </c>
      <c r="D8" s="171">
        <f t="shared" si="0"/>
        <v>540000</v>
      </c>
      <c r="E8" s="144">
        <v>4.5999999999999996</v>
      </c>
      <c r="F8" s="172">
        <f t="shared" si="1"/>
        <v>1173.913043478261</v>
      </c>
      <c r="G8" s="172">
        <f>(F8+F8)/2</f>
        <v>1173.913043478261</v>
      </c>
      <c r="H8" s="235"/>
      <c r="I8" s="236">
        <v>5.2</v>
      </c>
      <c r="J8" s="172">
        <f t="shared" si="2"/>
        <v>1038.4615384615386</v>
      </c>
      <c r="K8" s="172">
        <f>(J8+J8)/2</f>
        <v>1038.4615384615386</v>
      </c>
      <c r="L8" s="173"/>
      <c r="M8" s="192"/>
      <c r="N8" s="159"/>
      <c r="O8" s="174"/>
      <c r="P8" s="173"/>
      <c r="Q8" s="67"/>
      <c r="R8" s="118"/>
      <c r="S8" s="132">
        <v>3</v>
      </c>
      <c r="T8" s="129">
        <f>'Car. sol'!G31</f>
        <v>30</v>
      </c>
      <c r="U8" s="129">
        <f>'Car. sol'!H31</f>
        <v>70</v>
      </c>
      <c r="V8" s="96">
        <f>'Car. sol'!G41</f>
        <v>30</v>
      </c>
      <c r="W8" s="129">
        <f>'Car. sol'!H41</f>
        <v>70</v>
      </c>
    </row>
    <row r="9" spans="1:23" ht="15.6" x14ac:dyDescent="0.3">
      <c r="A9" s="155" t="s">
        <v>107</v>
      </c>
      <c r="B9" s="160">
        <f>$W$5</f>
        <v>60</v>
      </c>
      <c r="C9" s="161">
        <f>$V$5</f>
        <v>30</v>
      </c>
      <c r="D9" s="161">
        <f t="shared" si="0"/>
        <v>135000</v>
      </c>
      <c r="E9" s="161">
        <f>'Carichi unitari'!$M$4</f>
        <v>3.2</v>
      </c>
      <c r="F9" s="162">
        <f t="shared" si="1"/>
        <v>421.875</v>
      </c>
      <c r="G9" s="162"/>
      <c r="H9" s="234">
        <f>12*'Carichi unitari'!$M$9*F9/E9^2/1000000/(1+0.5*(F9/G10+F9/G11))</f>
        <v>10.450443395336157</v>
      </c>
      <c r="I9" s="160">
        <f>'Carichi unitari'!$M$4</f>
        <v>3.2</v>
      </c>
      <c r="J9" s="162">
        <f t="shared" si="2"/>
        <v>421.875</v>
      </c>
      <c r="K9" s="162"/>
      <c r="L9" s="163">
        <f>12*'Carichi unitari'!$M$9*J9/I9^2/1000000/(1+0.5*(J9/K10+J9/K11))</f>
        <v>10.020506791401912</v>
      </c>
      <c r="M9" s="190">
        <v>1</v>
      </c>
      <c r="N9" s="164"/>
      <c r="O9" s="165">
        <v>1</v>
      </c>
      <c r="P9" s="163"/>
      <c r="Q9" s="66"/>
      <c r="R9" s="118"/>
      <c r="S9" s="132">
        <v>2</v>
      </c>
      <c r="T9" s="129">
        <f>'Car. sol'!G32</f>
        <v>30</v>
      </c>
      <c r="U9" s="129">
        <f>'Car. sol'!H32</f>
        <v>70</v>
      </c>
      <c r="V9" s="96">
        <f>'Car. sol'!G42</f>
        <v>30</v>
      </c>
      <c r="W9" s="129">
        <f>'Car. sol'!H42</f>
        <v>80</v>
      </c>
    </row>
    <row r="10" spans="1:23" ht="15.6" x14ac:dyDescent="0.3">
      <c r="A10" s="156" t="s">
        <v>108</v>
      </c>
      <c r="B10" s="166">
        <f>$T$5</f>
        <v>30</v>
      </c>
      <c r="C10" s="54">
        <f>$U$5</f>
        <v>50</v>
      </c>
      <c r="D10" s="54">
        <f t="shared" si="0"/>
        <v>312500</v>
      </c>
      <c r="E10" s="90">
        <v>4.5999999999999996</v>
      </c>
      <c r="F10" s="167">
        <f t="shared" si="1"/>
        <v>679.34782608695662</v>
      </c>
      <c r="G10" s="167">
        <f>(F10+F10)/2</f>
        <v>679.34782608695662</v>
      </c>
      <c r="H10" s="245">
        <f>H9/$H$6</f>
        <v>0.49670762907352262</v>
      </c>
      <c r="I10" s="179">
        <v>5.2</v>
      </c>
      <c r="J10" s="167">
        <f t="shared" si="2"/>
        <v>600.96153846153845</v>
      </c>
      <c r="K10" s="167">
        <f>(J10+J10)/2</f>
        <v>600.96153846153845</v>
      </c>
      <c r="L10" s="243">
        <f>L9/L6</f>
        <v>0.51741333547816304</v>
      </c>
      <c r="M10" s="191"/>
      <c r="N10" s="149"/>
      <c r="O10" s="166"/>
      <c r="P10" s="168"/>
      <c r="Q10" s="67"/>
      <c r="R10" s="118"/>
      <c r="S10" s="132">
        <v>1</v>
      </c>
      <c r="T10" s="129">
        <f>'Car. sol'!G33</f>
        <v>30</v>
      </c>
      <c r="U10" s="129">
        <f>'Car. sol'!H33</f>
        <v>80</v>
      </c>
      <c r="V10" s="96">
        <f>'Car. sol'!G43</f>
        <v>30</v>
      </c>
      <c r="W10" s="129">
        <f>'Car. sol'!H43</f>
        <v>80</v>
      </c>
    </row>
    <row r="11" spans="1:23" ht="16.2" thickBot="1" x14ac:dyDescent="0.35">
      <c r="A11" s="157" t="s">
        <v>109</v>
      </c>
      <c r="B11" s="175">
        <f>$T$6</f>
        <v>30</v>
      </c>
      <c r="C11" s="52">
        <f>$U$6</f>
        <v>60</v>
      </c>
      <c r="D11" s="52">
        <f t="shared" si="0"/>
        <v>540000</v>
      </c>
      <c r="E11" s="176">
        <v>4.5999999999999996</v>
      </c>
      <c r="F11" s="177">
        <f t="shared" si="1"/>
        <v>1173.913043478261</v>
      </c>
      <c r="G11" s="177">
        <f>(F11+F11)/2</f>
        <v>1173.913043478261</v>
      </c>
      <c r="H11" s="206"/>
      <c r="I11" s="180">
        <v>5.2</v>
      </c>
      <c r="J11" s="177">
        <f t="shared" si="2"/>
        <v>1038.4615384615386</v>
      </c>
      <c r="K11" s="177">
        <f>(J11+J11)/2</f>
        <v>1038.4615384615386</v>
      </c>
      <c r="L11" s="178"/>
      <c r="M11" s="197"/>
      <c r="N11" s="150"/>
      <c r="O11" s="175"/>
      <c r="P11" s="178"/>
      <c r="Q11" s="67"/>
      <c r="R11" s="118"/>
      <c r="T11" t="s">
        <v>145</v>
      </c>
    </row>
    <row r="12" spans="1:23" ht="21" customHeight="1" thickBot="1" x14ac:dyDescent="0.35">
      <c r="B12" s="400" t="s">
        <v>144</v>
      </c>
      <c r="C12" s="401"/>
      <c r="D12" s="401"/>
      <c r="E12" s="401"/>
      <c r="F12" s="401"/>
      <c r="G12" s="401"/>
      <c r="H12" s="401"/>
      <c r="I12" s="402"/>
      <c r="J12" s="402"/>
      <c r="K12" s="402"/>
      <c r="L12" s="402"/>
      <c r="M12" s="401"/>
      <c r="N12" s="401"/>
      <c r="O12" s="401"/>
      <c r="P12" s="403"/>
      <c r="Q12" s="146"/>
      <c r="R12" s="146"/>
      <c r="T12">
        <v>100</v>
      </c>
      <c r="U12">
        <v>24</v>
      </c>
    </row>
    <row r="13" spans="1:23" ht="16.2" customHeight="1" x14ac:dyDescent="0.3">
      <c r="A13" s="155" t="s">
        <v>107</v>
      </c>
      <c r="B13" s="160">
        <f>$V$5</f>
        <v>30</v>
      </c>
      <c r="C13" s="204">
        <f>$W$5</f>
        <v>60</v>
      </c>
      <c r="D13" s="161">
        <f>B13*C13^3/12</f>
        <v>540000</v>
      </c>
      <c r="E13" s="161">
        <f>'Carichi unitari'!$M$4</f>
        <v>3.2</v>
      </c>
      <c r="F13" s="162">
        <f>D13/(100*E13)</f>
        <v>1687.5</v>
      </c>
      <c r="G13" s="161"/>
      <c r="H13" s="234">
        <f>12*'Carichi unitari'!$M$9*F13/E13^2/1000000/(1+0.5*(F13/G14+F13/G15))</f>
        <v>8.0499116607773846</v>
      </c>
      <c r="I13" s="160">
        <f>'Carichi unitari'!$M$4</f>
        <v>3.2</v>
      </c>
      <c r="J13" s="162">
        <f>D13/(100*I13)</f>
        <v>1687.5</v>
      </c>
      <c r="K13" s="162"/>
      <c r="L13" s="163">
        <f>12*'Carichi unitari'!$M$9*J13/I13^2/1000000/(1+0.5*(J13/K14+J13/K15))</f>
        <v>7.228864460562102</v>
      </c>
      <c r="M13" s="190">
        <v>1</v>
      </c>
      <c r="N13" s="163"/>
      <c r="O13" s="165">
        <v>0</v>
      </c>
      <c r="P13" s="163"/>
      <c r="Q13" s="146"/>
      <c r="R13" s="146"/>
      <c r="S13" s="146"/>
    </row>
    <row r="14" spans="1:23" ht="16.2" customHeight="1" x14ac:dyDescent="0.3">
      <c r="A14" s="156" t="s">
        <v>108</v>
      </c>
      <c r="B14" s="166">
        <f>$T$12</f>
        <v>100</v>
      </c>
      <c r="C14" s="205">
        <f>$U$12</f>
        <v>24</v>
      </c>
      <c r="D14" s="54">
        <f t="shared" ref="D14:D15" si="3">B14*C14^3/12</f>
        <v>115200</v>
      </c>
      <c r="E14" s="90">
        <v>4.5999999999999996</v>
      </c>
      <c r="F14" s="167">
        <f t="shared" ref="F14:F15" si="4">D14/(100*E14)</f>
        <v>250.43478260869568</v>
      </c>
      <c r="G14" s="167">
        <f>(F14+F14)/2</f>
        <v>250.43478260869568</v>
      </c>
      <c r="H14" s="245">
        <f>H13/$H$6</f>
        <v>0.38261080262493691</v>
      </c>
      <c r="I14" s="179">
        <v>5.2</v>
      </c>
      <c r="J14" s="167">
        <f t="shared" ref="J14:J18" si="5">D14/(100*I14)</f>
        <v>221.53846153846155</v>
      </c>
      <c r="K14" s="167">
        <f>(J14+J14)/2</f>
        <v>221.53846153846155</v>
      </c>
      <c r="L14" s="243">
        <f>L13/L6</f>
        <v>0.37326563916591116</v>
      </c>
      <c r="M14" s="191"/>
      <c r="N14" s="149"/>
      <c r="O14" s="169"/>
      <c r="P14" s="168"/>
      <c r="Q14" s="146"/>
      <c r="R14" s="146"/>
      <c r="S14" s="146"/>
      <c r="T14" s="321"/>
      <c r="U14" s="321"/>
    </row>
    <row r="15" spans="1:23" ht="16.2" customHeight="1" thickBot="1" x14ac:dyDescent="0.35">
      <c r="A15" s="158" t="s">
        <v>109</v>
      </c>
      <c r="B15" s="175">
        <f>$T$12</f>
        <v>100</v>
      </c>
      <c r="C15" s="206">
        <f>$U$12</f>
        <v>24</v>
      </c>
      <c r="D15" s="52">
        <f t="shared" si="3"/>
        <v>115200</v>
      </c>
      <c r="E15" s="176">
        <v>4.5999999999999996</v>
      </c>
      <c r="F15" s="177">
        <f t="shared" si="4"/>
        <v>250.43478260869568</v>
      </c>
      <c r="G15" s="177">
        <f>(F15+F15)/2</f>
        <v>250.43478260869568</v>
      </c>
      <c r="H15" s="206"/>
      <c r="I15" s="236">
        <v>5.2</v>
      </c>
      <c r="J15" s="172">
        <f t="shared" si="5"/>
        <v>221.53846153846155</v>
      </c>
      <c r="K15" s="172">
        <f>(J15+J15)/2</f>
        <v>221.53846153846155</v>
      </c>
      <c r="L15" s="173"/>
      <c r="M15" s="197"/>
      <c r="N15" s="150"/>
      <c r="O15" s="181"/>
      <c r="P15" s="178"/>
      <c r="Q15" s="146"/>
      <c r="R15" s="146"/>
      <c r="S15" s="146"/>
      <c r="T15" s="321"/>
      <c r="U15" s="321"/>
    </row>
    <row r="16" spans="1:23" ht="15.6" x14ac:dyDescent="0.3">
      <c r="A16" s="155" t="s">
        <v>107</v>
      </c>
      <c r="B16" s="160">
        <f>W5</f>
        <v>60</v>
      </c>
      <c r="C16" s="204">
        <f>V5</f>
        <v>30</v>
      </c>
      <c r="D16" s="161">
        <f>B16*C16^3/12</f>
        <v>135000</v>
      </c>
      <c r="E16" s="161">
        <f>'Carichi unitari'!$M$4</f>
        <v>3.2</v>
      </c>
      <c r="F16" s="161">
        <f>D16/(100*E16)</f>
        <v>421.875</v>
      </c>
      <c r="G16" s="161"/>
      <c r="H16" s="234">
        <f>12*'Carichi unitari'!$M$9*F16/E16^2/1000000/(1+0.5*(F16/G17+F16/G18))</f>
        <v>5.8009730811204063</v>
      </c>
      <c r="I16" s="160">
        <f>'Carichi unitari'!$M$4</f>
        <v>3.2</v>
      </c>
      <c r="J16" s="162">
        <f t="shared" si="5"/>
        <v>421.875</v>
      </c>
      <c r="K16" s="161"/>
      <c r="L16" s="163">
        <f>12*'Carichi unitari'!$M$9*J16/I16^2/1000000/(1+0.5*(J16/K17+J16/K18))</f>
        <v>5.3620965030262262</v>
      </c>
      <c r="M16" s="190">
        <v>1</v>
      </c>
      <c r="N16" s="164"/>
      <c r="O16" s="160">
        <v>0</v>
      </c>
      <c r="P16" s="163"/>
      <c r="Q16" s="66"/>
      <c r="R16" s="147"/>
      <c r="S16" s="66"/>
      <c r="T16" s="218"/>
      <c r="U16" s="218"/>
    </row>
    <row r="17" spans="1:28" ht="15.6" x14ac:dyDescent="0.3">
      <c r="A17" s="156" t="s">
        <v>108</v>
      </c>
      <c r="B17" s="166">
        <f>$T$12</f>
        <v>100</v>
      </c>
      <c r="C17" s="205">
        <f>$U$12</f>
        <v>24</v>
      </c>
      <c r="D17" s="54">
        <f>B17*C17^3/12</f>
        <v>115200</v>
      </c>
      <c r="E17" s="90">
        <v>4.5999999999999996</v>
      </c>
      <c r="F17" s="54">
        <f>D17/(100*E17)</f>
        <v>250.43478260869568</v>
      </c>
      <c r="G17" s="167">
        <f t="shared" ref="G17:G18" si="6">(F17+F17)/2</f>
        <v>250.43478260869568</v>
      </c>
      <c r="H17" s="245">
        <f>H16/$H$6</f>
        <v>0.27571917060749357</v>
      </c>
      <c r="I17" s="179">
        <v>5.2</v>
      </c>
      <c r="J17" s="167">
        <f t="shared" si="5"/>
        <v>221.53846153846155</v>
      </c>
      <c r="K17" s="167">
        <f t="shared" ref="K17:K18" si="7">(J17+J17)/2</f>
        <v>221.53846153846155</v>
      </c>
      <c r="L17" s="243">
        <f>L16/L6</f>
        <v>0.27687424344317418</v>
      </c>
      <c r="M17" s="237"/>
      <c r="N17" s="149"/>
      <c r="O17" s="166"/>
      <c r="P17" s="168"/>
      <c r="Q17" s="67"/>
      <c r="R17" s="147"/>
      <c r="S17" s="67"/>
      <c r="T17" s="218"/>
      <c r="U17" s="218"/>
    </row>
    <row r="18" spans="1:28" ht="16.2" thickBot="1" x14ac:dyDescent="0.35">
      <c r="A18" s="157" t="s">
        <v>109</v>
      </c>
      <c r="B18" s="175">
        <f>T12</f>
        <v>100</v>
      </c>
      <c r="C18" s="206">
        <f>U12</f>
        <v>24</v>
      </c>
      <c r="D18" s="52">
        <f>B18*C18^3/12</f>
        <v>115200</v>
      </c>
      <c r="E18" s="176">
        <v>4.5999999999999996</v>
      </c>
      <c r="F18" s="52">
        <f>D18/(100*E18)</f>
        <v>250.43478260869568</v>
      </c>
      <c r="G18" s="177">
        <f t="shared" si="6"/>
        <v>250.43478260869568</v>
      </c>
      <c r="H18" s="206"/>
      <c r="I18" s="180">
        <v>5.2</v>
      </c>
      <c r="J18" s="177">
        <f t="shared" si="5"/>
        <v>221.53846153846155</v>
      </c>
      <c r="K18" s="177">
        <f t="shared" si="7"/>
        <v>221.53846153846155</v>
      </c>
      <c r="L18" s="178"/>
      <c r="M18" s="238"/>
      <c r="N18" s="150"/>
      <c r="O18" s="175"/>
      <c r="P18" s="178"/>
      <c r="Q18" s="67"/>
      <c r="R18" s="147"/>
      <c r="S18" s="67"/>
      <c r="T18" s="218"/>
      <c r="U18" s="218"/>
    </row>
    <row r="19" spans="1:28" ht="22.2" customHeight="1" thickBot="1" x14ac:dyDescent="0.35">
      <c r="B19" s="388" t="s">
        <v>147</v>
      </c>
      <c r="C19" s="389"/>
      <c r="D19" s="389"/>
      <c r="E19" s="389"/>
      <c r="F19" s="389"/>
      <c r="G19" s="389"/>
      <c r="H19" s="389"/>
      <c r="I19" s="390"/>
      <c r="J19" s="390"/>
      <c r="K19" s="390"/>
      <c r="L19" s="390"/>
      <c r="M19" s="389"/>
      <c r="N19" s="389"/>
      <c r="O19" s="389"/>
      <c r="P19" s="391"/>
      <c r="Q19" s="66"/>
      <c r="R19" s="43"/>
      <c r="S19" s="43"/>
      <c r="T19" s="247"/>
      <c r="U19" s="247"/>
      <c r="AA19" s="201"/>
      <c r="AB19" s="200"/>
    </row>
    <row r="20" spans="1:28" ht="15.6" x14ac:dyDescent="0.3">
      <c r="A20" s="155" t="s">
        <v>107</v>
      </c>
      <c r="B20" s="160">
        <f>$V$5</f>
        <v>30</v>
      </c>
      <c r="C20" s="161">
        <f>$W$5</f>
        <v>60</v>
      </c>
      <c r="D20" s="161">
        <f>B20*C20^3/12</f>
        <v>540000</v>
      </c>
      <c r="E20" s="161">
        <f>'Carichi unitari'!$M$4</f>
        <v>3.2</v>
      </c>
      <c r="F20" s="162">
        <f>D20/(100*E20)</f>
        <v>1687.5</v>
      </c>
      <c r="G20" s="161"/>
      <c r="H20" s="234">
        <f>12*'Carichi unitari'!$M$9*F20/E20^2/1000000/(1+0.5*(F20/G21+F20/G22))</f>
        <v>12.657214359189272</v>
      </c>
      <c r="I20" s="160">
        <f>'Carichi unitari'!$M$4</f>
        <v>3.2</v>
      </c>
      <c r="J20" s="162">
        <f>D20/(100*I20)</f>
        <v>1687.5</v>
      </c>
      <c r="K20" s="162"/>
      <c r="L20" s="163">
        <f>12*'Carichi unitari'!$M$9*J20/I20^2/1000000/(1+0.5*(J20/K21+J20/K22))</f>
        <v>11.465577115543896</v>
      </c>
      <c r="M20" s="190">
        <v>6</v>
      </c>
      <c r="N20" s="164"/>
      <c r="O20" s="165">
        <v>0</v>
      </c>
      <c r="P20" s="163"/>
      <c r="Q20" s="67"/>
      <c r="R20" s="43"/>
      <c r="S20" s="43"/>
      <c r="T20" s="247"/>
      <c r="U20" s="247"/>
      <c r="AA20" s="43"/>
      <c r="AB20" s="43"/>
    </row>
    <row r="21" spans="1:28" ht="15.6" x14ac:dyDescent="0.3">
      <c r="A21" s="156" t="s">
        <v>108</v>
      </c>
      <c r="B21" s="166">
        <f>$T$5</f>
        <v>30</v>
      </c>
      <c r="C21" s="54">
        <f>$U$5</f>
        <v>50</v>
      </c>
      <c r="D21" s="54">
        <f t="shared" ref="D21:D25" si="8">B21*C21^3/12</f>
        <v>312500</v>
      </c>
      <c r="E21" s="90">
        <v>4.5999999999999996</v>
      </c>
      <c r="F21" s="167">
        <f t="shared" ref="F21:F25" si="9">D21/(100*E21)</f>
        <v>679.34782608695662</v>
      </c>
      <c r="G21" s="167">
        <f>(F21)/2</f>
        <v>339.67391304347831</v>
      </c>
      <c r="H21" s="245">
        <f>H20/$H$6</f>
        <v>0.60159504216194248</v>
      </c>
      <c r="I21" s="179">
        <v>5.2</v>
      </c>
      <c r="J21" s="167">
        <f t="shared" ref="J21:J43" si="10">D21/(100*I21)</f>
        <v>600.96153846153845</v>
      </c>
      <c r="K21" s="167">
        <f>(J21)/2</f>
        <v>300.48076923076923</v>
      </c>
      <c r="L21" s="243">
        <f>L20/L6</f>
        <v>0.59203018590097556</v>
      </c>
      <c r="M21" s="191"/>
      <c r="N21" s="149"/>
      <c r="O21" s="169"/>
      <c r="P21" s="168"/>
      <c r="Q21" s="67"/>
      <c r="R21" s="43"/>
      <c r="S21" s="43"/>
      <c r="T21" s="247"/>
      <c r="U21" s="247"/>
      <c r="AA21" s="43"/>
      <c r="AB21" s="43"/>
    </row>
    <row r="22" spans="1:28" ht="16.2" thickBot="1" x14ac:dyDescent="0.35">
      <c r="A22" s="158" t="s">
        <v>109</v>
      </c>
      <c r="B22" s="170">
        <f>$T$6</f>
        <v>30</v>
      </c>
      <c r="C22" s="171">
        <f>$U$6</f>
        <v>60</v>
      </c>
      <c r="D22" s="171">
        <f t="shared" si="8"/>
        <v>540000</v>
      </c>
      <c r="E22" s="144">
        <v>4.5999999999999996</v>
      </c>
      <c r="F22" s="172">
        <f t="shared" si="9"/>
        <v>1173.913043478261</v>
      </c>
      <c r="G22" s="172">
        <f>(F22)/2</f>
        <v>586.95652173913049</v>
      </c>
      <c r="H22" s="235"/>
      <c r="I22" s="180">
        <v>5.2</v>
      </c>
      <c r="J22" s="177">
        <f t="shared" si="10"/>
        <v>1038.4615384615386</v>
      </c>
      <c r="K22" s="177">
        <f>(J22)/2</f>
        <v>519.23076923076928</v>
      </c>
      <c r="L22" s="178"/>
      <c r="M22" s="197"/>
      <c r="N22" s="150"/>
      <c r="O22" s="181"/>
      <c r="P22" s="178"/>
      <c r="R22" s="118"/>
      <c r="S22" s="118"/>
      <c r="T22" s="248"/>
      <c r="U22" s="218"/>
      <c r="AA22" s="118"/>
      <c r="AB22" s="118"/>
    </row>
    <row r="23" spans="1:28" ht="15.6" x14ac:dyDescent="0.3">
      <c r="A23" s="155" t="s">
        <v>107</v>
      </c>
      <c r="B23" s="160">
        <f>$W$5</f>
        <v>60</v>
      </c>
      <c r="C23" s="161">
        <f>$V$5</f>
        <v>30</v>
      </c>
      <c r="D23" s="161">
        <f t="shared" si="8"/>
        <v>135000</v>
      </c>
      <c r="E23" s="161">
        <f>'Carichi unitari'!$M$4</f>
        <v>3.2</v>
      </c>
      <c r="F23" s="162">
        <f t="shared" si="9"/>
        <v>421.875</v>
      </c>
      <c r="G23" s="162"/>
      <c r="H23" s="234">
        <f>12*'Carichi unitari'!$M$9*F23/E23^2/1000000/(1+0.5*(F23/G24+F23/G25))</f>
        <v>7.863722838950955</v>
      </c>
      <c r="I23" s="193">
        <f>'Carichi unitari'!$M$4</f>
        <v>3.2</v>
      </c>
      <c r="J23" s="195">
        <f t="shared" si="10"/>
        <v>421.875</v>
      </c>
      <c r="K23" s="195"/>
      <c r="L23" s="196">
        <f>12*'Carichi unitari'!$M$9*J23/I23^2/1000000/(1+0.5*(J23/K24+J23/K25))</f>
        <v>7.3867521011205959</v>
      </c>
      <c r="M23" s="190">
        <v>2</v>
      </c>
      <c r="N23" s="164"/>
      <c r="O23" s="165">
        <v>12</v>
      </c>
      <c r="P23" s="163"/>
    </row>
    <row r="24" spans="1:28" ht="15.6" x14ac:dyDescent="0.3">
      <c r="A24" s="156" t="s">
        <v>108</v>
      </c>
      <c r="B24" s="166">
        <f>$T$5</f>
        <v>30</v>
      </c>
      <c r="C24" s="54">
        <f>$U$5</f>
        <v>50</v>
      </c>
      <c r="D24" s="54">
        <f t="shared" si="8"/>
        <v>312500</v>
      </c>
      <c r="E24" s="90">
        <v>4.5999999999999996</v>
      </c>
      <c r="F24" s="167">
        <f t="shared" si="9"/>
        <v>679.34782608695662</v>
      </c>
      <c r="G24" s="167">
        <f>(F24)/2</f>
        <v>339.67391304347831</v>
      </c>
      <c r="H24" s="245">
        <f>H23/$H$6</f>
        <v>0.37376128258536889</v>
      </c>
      <c r="I24" s="179">
        <v>5.2</v>
      </c>
      <c r="J24" s="167">
        <f t="shared" si="10"/>
        <v>600.96153846153845</v>
      </c>
      <c r="K24" s="167">
        <f>(J24)/2</f>
        <v>300.48076923076923</v>
      </c>
      <c r="L24" s="243">
        <f>L23/L6</f>
        <v>0.38141823787501483</v>
      </c>
      <c r="M24" s="191"/>
      <c r="N24" s="149"/>
      <c r="O24" s="166"/>
      <c r="P24" s="168"/>
    </row>
    <row r="25" spans="1:28" ht="16.2" thickBot="1" x14ac:dyDescent="0.35">
      <c r="A25" s="157" t="s">
        <v>109</v>
      </c>
      <c r="B25" s="175">
        <f>$T$6</f>
        <v>30</v>
      </c>
      <c r="C25" s="52">
        <f>$U$6</f>
        <v>60</v>
      </c>
      <c r="D25" s="52">
        <f t="shared" si="8"/>
        <v>540000</v>
      </c>
      <c r="E25" s="176">
        <v>4.5999999999999996</v>
      </c>
      <c r="F25" s="177">
        <f t="shared" si="9"/>
        <v>1173.913043478261</v>
      </c>
      <c r="G25" s="177">
        <f>(F25)/2</f>
        <v>586.95652173913049</v>
      </c>
      <c r="H25" s="206"/>
      <c r="I25" s="180">
        <v>5.2</v>
      </c>
      <c r="J25" s="177">
        <f t="shared" si="10"/>
        <v>1038.4615384615386</v>
      </c>
      <c r="K25" s="177">
        <f>(J25)/2</f>
        <v>519.23076923076928</v>
      </c>
      <c r="L25" s="178"/>
      <c r="M25" s="197"/>
      <c r="N25" s="150"/>
      <c r="O25" s="175"/>
      <c r="P25" s="178"/>
    </row>
    <row r="26" spans="1:28" ht="20.399999999999999" customHeight="1" thickBot="1" x14ac:dyDescent="0.35">
      <c r="B26" s="392" t="s">
        <v>148</v>
      </c>
      <c r="C26" s="393"/>
      <c r="D26" s="393"/>
      <c r="E26" s="393"/>
      <c r="F26" s="393"/>
      <c r="G26" s="393"/>
      <c r="H26" s="393"/>
      <c r="I26" s="390"/>
      <c r="J26" s="390"/>
      <c r="K26" s="390"/>
      <c r="L26" s="390"/>
      <c r="M26" s="393"/>
      <c r="N26" s="393"/>
      <c r="O26" s="393"/>
      <c r="P26" s="394"/>
    </row>
    <row r="27" spans="1:28" ht="15.6" x14ac:dyDescent="0.3">
      <c r="A27" s="155" t="s">
        <v>107</v>
      </c>
      <c r="B27" s="160">
        <f>$V$5</f>
        <v>30</v>
      </c>
      <c r="C27" s="161">
        <f>$W$5</f>
        <v>60</v>
      </c>
      <c r="D27" s="161">
        <f>B27*C27^3/12</f>
        <v>540000</v>
      </c>
      <c r="E27" s="161">
        <f>'Carichi unitari'!$M$4</f>
        <v>3.2</v>
      </c>
      <c r="F27" s="162">
        <f>D27/(100*E27)</f>
        <v>1687.5</v>
      </c>
      <c r="G27" s="161"/>
      <c r="H27" s="234">
        <f>12*'Carichi unitari'!$M$9*F27/E27^2/1000000/(1+0.5*(F27/G28+F27/G29))</f>
        <v>4.3029883971937393</v>
      </c>
      <c r="I27" s="160">
        <f>'Carichi unitari'!$M$4</f>
        <v>3.2</v>
      </c>
      <c r="J27" s="162">
        <f t="shared" si="10"/>
        <v>1687.5</v>
      </c>
      <c r="K27" s="162"/>
      <c r="L27" s="163">
        <f>12*'Carichi unitari'!$M$9*J27/I27^2/1000000/(1+0.5*(J27/K28+J27/K29))</f>
        <v>3.8370729066410001</v>
      </c>
      <c r="M27" s="190">
        <v>0</v>
      </c>
      <c r="N27" s="164"/>
      <c r="O27" s="165">
        <v>0</v>
      </c>
      <c r="P27" s="163"/>
    </row>
    <row r="28" spans="1:28" ht="15.6" x14ac:dyDescent="0.3">
      <c r="A28" s="156" t="s">
        <v>108</v>
      </c>
      <c r="B28" s="166">
        <f>$T$12</f>
        <v>100</v>
      </c>
      <c r="C28" s="54">
        <f>$U$12</f>
        <v>24</v>
      </c>
      <c r="D28" s="54">
        <f t="shared" ref="D28:D32" si="11">B28*C28^3/12</f>
        <v>115200</v>
      </c>
      <c r="E28" s="90">
        <v>4.5999999999999996</v>
      </c>
      <c r="F28" s="167">
        <f t="shared" ref="F28:F32" si="12">D28/(100*E28)</f>
        <v>250.43478260869568</v>
      </c>
      <c r="G28" s="167">
        <f>(F28)/2</f>
        <v>125.21739130434784</v>
      </c>
      <c r="H28" s="245">
        <f>H27/$H$6</f>
        <v>0.20452023745277925</v>
      </c>
      <c r="I28" s="179">
        <v>5.2</v>
      </c>
      <c r="J28" s="167">
        <f t="shared" si="10"/>
        <v>221.53846153846155</v>
      </c>
      <c r="K28" s="167">
        <f>(J28)/2</f>
        <v>110.76923076923077</v>
      </c>
      <c r="L28" s="243">
        <f>L27/L6</f>
        <v>0.19812897016361888</v>
      </c>
      <c r="M28" s="191"/>
      <c r="N28" s="149"/>
      <c r="O28" s="169"/>
      <c r="P28" s="168"/>
    </row>
    <row r="29" spans="1:28" ht="16.2" thickBot="1" x14ac:dyDescent="0.35">
      <c r="A29" s="158" t="s">
        <v>109</v>
      </c>
      <c r="B29" s="166">
        <f>$T$12</f>
        <v>100</v>
      </c>
      <c r="C29" s="54">
        <f>$U$12</f>
        <v>24</v>
      </c>
      <c r="D29" s="171">
        <f t="shared" si="11"/>
        <v>115200</v>
      </c>
      <c r="E29" s="144">
        <v>4.5999999999999996</v>
      </c>
      <c r="F29" s="172">
        <f t="shared" si="12"/>
        <v>250.43478260869568</v>
      </c>
      <c r="G29" s="172">
        <f>(F29)/2</f>
        <v>125.21739130434784</v>
      </c>
      <c r="H29" s="235"/>
      <c r="I29" s="236">
        <v>5.2</v>
      </c>
      <c r="J29" s="172">
        <f t="shared" si="10"/>
        <v>221.53846153846155</v>
      </c>
      <c r="K29" s="172">
        <f>(J29)/2</f>
        <v>110.76923076923077</v>
      </c>
      <c r="L29" s="173"/>
      <c r="M29" s="197"/>
      <c r="N29" s="150"/>
      <c r="O29" s="181"/>
      <c r="P29" s="178"/>
    </row>
    <row r="30" spans="1:28" ht="15.6" x14ac:dyDescent="0.3">
      <c r="A30" s="155" t="s">
        <v>107</v>
      </c>
      <c r="B30" s="160">
        <f>$W$5</f>
        <v>60</v>
      </c>
      <c r="C30" s="161">
        <f>$V$5</f>
        <v>30</v>
      </c>
      <c r="D30" s="161">
        <f t="shared" si="11"/>
        <v>135000</v>
      </c>
      <c r="E30" s="161">
        <f>'Carichi unitari'!$M$4</f>
        <v>3.2</v>
      </c>
      <c r="F30" s="162">
        <f t="shared" si="12"/>
        <v>421.875</v>
      </c>
      <c r="G30" s="162"/>
      <c r="H30" s="234">
        <f>12*'Carichi unitari'!$M$9*F30/E30^2/1000000/(1+0.5*(F30/G31+F30/G32))</f>
        <v>3.5643439874832357</v>
      </c>
      <c r="I30" s="160">
        <f>'Carichi unitari'!$M$4</f>
        <v>3.2</v>
      </c>
      <c r="J30" s="162">
        <f t="shared" si="10"/>
        <v>421.875</v>
      </c>
      <c r="K30" s="162"/>
      <c r="L30" s="163">
        <f>12*'Carichi unitari'!$M$9*J30/I30^2/1000000/(1+0.5*(J30/K31+J30/K32))</f>
        <v>3.2386017465475216</v>
      </c>
      <c r="M30" s="190">
        <v>2</v>
      </c>
      <c r="N30" s="164"/>
      <c r="O30" s="165">
        <v>0</v>
      </c>
      <c r="P30" s="163"/>
    </row>
    <row r="31" spans="1:28" ht="15.6" x14ac:dyDescent="0.3">
      <c r="A31" s="156" t="s">
        <v>108</v>
      </c>
      <c r="B31" s="166">
        <f>$T$12</f>
        <v>100</v>
      </c>
      <c r="C31" s="54">
        <f>$U$12</f>
        <v>24</v>
      </c>
      <c r="D31" s="54">
        <f t="shared" si="11"/>
        <v>115200</v>
      </c>
      <c r="E31" s="90">
        <v>4.5999999999999996</v>
      </c>
      <c r="F31" s="167">
        <f t="shared" si="12"/>
        <v>250.43478260869568</v>
      </c>
      <c r="G31" s="167">
        <f>(F31)/2</f>
        <v>125.21739130434784</v>
      </c>
      <c r="H31" s="245">
        <f>H30/$H$6</f>
        <v>0.16941260616897627</v>
      </c>
      <c r="I31" s="179">
        <v>5.2</v>
      </c>
      <c r="J31" s="167">
        <f t="shared" si="10"/>
        <v>221.53846153846155</v>
      </c>
      <c r="K31" s="167">
        <f>(J31)/2</f>
        <v>110.76923076923077</v>
      </c>
      <c r="L31" s="243">
        <f>L30/L6</f>
        <v>0.16722664500406176</v>
      </c>
      <c r="M31" s="191"/>
      <c r="N31" s="149"/>
      <c r="O31" s="166"/>
      <c r="P31" s="168"/>
    </row>
    <row r="32" spans="1:28" ht="16.2" thickBot="1" x14ac:dyDescent="0.35">
      <c r="A32" s="157" t="s">
        <v>109</v>
      </c>
      <c r="B32" s="166">
        <f>$T$12</f>
        <v>100</v>
      </c>
      <c r="C32" s="54">
        <f>$U$12</f>
        <v>24</v>
      </c>
      <c r="D32" s="52">
        <f t="shared" si="11"/>
        <v>115200</v>
      </c>
      <c r="E32" s="176">
        <v>4.5999999999999996</v>
      </c>
      <c r="F32" s="177">
        <f t="shared" si="12"/>
        <v>250.43478260869568</v>
      </c>
      <c r="G32" s="177">
        <f>(F32)/2</f>
        <v>125.21739130434784</v>
      </c>
      <c r="H32" s="206"/>
      <c r="I32" s="180">
        <v>5.2</v>
      </c>
      <c r="J32" s="177">
        <f t="shared" si="10"/>
        <v>221.53846153846155</v>
      </c>
      <c r="K32" s="177">
        <f>(J32)/2</f>
        <v>110.76923076923077</v>
      </c>
      <c r="L32" s="178"/>
      <c r="M32" s="197"/>
      <c r="N32" s="150"/>
      <c r="O32" s="175"/>
      <c r="P32" s="178"/>
    </row>
    <row r="33" spans="1:16" ht="19.8" customHeight="1" thickBot="1" x14ac:dyDescent="0.35">
      <c r="B33" s="395" t="s">
        <v>149</v>
      </c>
      <c r="C33" s="396"/>
      <c r="D33" s="396"/>
      <c r="E33" s="396"/>
      <c r="F33" s="396"/>
      <c r="G33" s="396"/>
      <c r="H33" s="396"/>
      <c r="I33" s="390"/>
      <c r="J33" s="390"/>
      <c r="K33" s="390"/>
      <c r="L33" s="390"/>
      <c r="M33" s="396"/>
      <c r="N33" s="396"/>
      <c r="O33" s="396"/>
      <c r="P33" s="397"/>
    </row>
    <row r="34" spans="1:16" ht="15.6" x14ac:dyDescent="0.3">
      <c r="A34" s="182" t="s">
        <v>107</v>
      </c>
      <c r="B34" s="160">
        <f>$V$5</f>
        <v>30</v>
      </c>
      <c r="C34" s="161">
        <f>$W$5</f>
        <v>60</v>
      </c>
      <c r="D34" s="161">
        <f>B34*C34^3/12</f>
        <v>540000</v>
      </c>
      <c r="E34" s="161">
        <f>'Carichi unitari'!$M$4</f>
        <v>3.2</v>
      </c>
      <c r="F34" s="162">
        <f>D34/(100*E34)</f>
        <v>1687.5</v>
      </c>
      <c r="G34" s="161"/>
      <c r="H34" s="234">
        <f>12*'Carichi unitari'!$M$9*F34/E34^2/1000000/(1+0.5*(F34/G35+F34/G37))</f>
        <v>15.574314955180173</v>
      </c>
      <c r="I34" s="160">
        <f>'Carichi unitari'!$M$4</f>
        <v>3.2</v>
      </c>
      <c r="J34" s="162">
        <f t="shared" si="10"/>
        <v>1687.5</v>
      </c>
      <c r="K34" s="162"/>
      <c r="L34" s="163">
        <f>12*'Carichi unitari'!$M$9*J34/I34^2/1000000/(1+0.5*(J34/K35+J34/K37))</f>
        <v>14.186537041944273</v>
      </c>
      <c r="M34" s="190">
        <v>0</v>
      </c>
      <c r="N34" s="164"/>
      <c r="O34" s="165">
        <v>1</v>
      </c>
      <c r="P34" s="163"/>
    </row>
    <row r="35" spans="1:16" ht="15.6" x14ac:dyDescent="0.3">
      <c r="A35" s="183" t="s">
        <v>108</v>
      </c>
      <c r="B35" s="166">
        <f>$T$12</f>
        <v>100</v>
      </c>
      <c r="C35" s="54">
        <f>$U$12</f>
        <v>24</v>
      </c>
      <c r="D35" s="54">
        <f t="shared" ref="D35:D43" si="13">B35*C35^3/12</f>
        <v>115200</v>
      </c>
      <c r="E35" s="90">
        <v>4.5999999999999996</v>
      </c>
      <c r="F35" s="167">
        <f t="shared" ref="F35:F43" si="14">D35/(100*E35)</f>
        <v>250.43478260869568</v>
      </c>
      <c r="G35" s="167">
        <f>(F35+F36)/2</f>
        <v>464.89130434782612</v>
      </c>
      <c r="H35" s="245">
        <f>H34/$H$6</f>
        <v>0.74024429042735473</v>
      </c>
      <c r="I35" s="179">
        <v>5.2</v>
      </c>
      <c r="J35" s="167">
        <f t="shared" si="10"/>
        <v>221.53846153846155</v>
      </c>
      <c r="K35" s="167">
        <f>(J35+J36)/2</f>
        <v>411.25</v>
      </c>
      <c r="L35" s="243">
        <f>L34/L6</f>
        <v>0.73252816474863724</v>
      </c>
      <c r="M35" s="191"/>
      <c r="N35" s="149"/>
      <c r="O35" s="169"/>
      <c r="P35" s="168"/>
    </row>
    <row r="36" spans="1:16" ht="15.6" x14ac:dyDescent="0.3">
      <c r="A36" s="184"/>
      <c r="B36" s="166">
        <f>$T$5</f>
        <v>30</v>
      </c>
      <c r="C36" s="54">
        <f>$U$5</f>
        <v>50</v>
      </c>
      <c r="D36" s="54">
        <f t="shared" si="13"/>
        <v>312500</v>
      </c>
      <c r="E36" s="90">
        <v>4.5999999999999996</v>
      </c>
      <c r="F36" s="167">
        <f t="shared" si="14"/>
        <v>679.34782608695662</v>
      </c>
      <c r="G36" s="167"/>
      <c r="H36" s="205"/>
      <c r="I36" s="179">
        <v>5.2</v>
      </c>
      <c r="J36" s="167">
        <f t="shared" si="10"/>
        <v>600.96153846153845</v>
      </c>
      <c r="K36" s="167"/>
      <c r="L36" s="168"/>
      <c r="M36" s="191"/>
      <c r="N36" s="149"/>
      <c r="O36" s="169"/>
      <c r="P36" s="168"/>
    </row>
    <row r="37" spans="1:16" ht="15.6" x14ac:dyDescent="0.3">
      <c r="A37" s="184" t="s">
        <v>109</v>
      </c>
      <c r="B37" s="166">
        <f>$T$12</f>
        <v>100</v>
      </c>
      <c r="C37" s="54">
        <f>$U$12</f>
        <v>24</v>
      </c>
      <c r="D37" s="54">
        <f t="shared" si="13"/>
        <v>115200</v>
      </c>
      <c r="E37" s="90">
        <v>4.5999999999999996</v>
      </c>
      <c r="F37" s="167">
        <f t="shared" si="14"/>
        <v>250.43478260869568</v>
      </c>
      <c r="G37" s="167">
        <f>(F37+F38)/2</f>
        <v>712.17391304347836</v>
      </c>
      <c r="H37" s="205"/>
      <c r="I37" s="179">
        <v>5.2</v>
      </c>
      <c r="J37" s="167">
        <f t="shared" si="10"/>
        <v>221.53846153846155</v>
      </c>
      <c r="K37" s="167">
        <f>(J37+J38)/2</f>
        <v>630</v>
      </c>
      <c r="L37" s="168"/>
      <c r="M37" s="191"/>
      <c r="N37" s="149"/>
      <c r="O37" s="169"/>
      <c r="P37" s="168"/>
    </row>
    <row r="38" spans="1:16" ht="16.2" thickBot="1" x14ac:dyDescent="0.35">
      <c r="A38" s="185"/>
      <c r="B38" s="175">
        <f>T6</f>
        <v>30</v>
      </c>
      <c r="C38" s="52">
        <f>$U$6</f>
        <v>60</v>
      </c>
      <c r="D38" s="52">
        <f t="shared" si="13"/>
        <v>540000</v>
      </c>
      <c r="E38" s="176">
        <v>4.5999999999999996</v>
      </c>
      <c r="F38" s="177">
        <f t="shared" si="14"/>
        <v>1173.913043478261</v>
      </c>
      <c r="G38" s="177"/>
      <c r="H38" s="206"/>
      <c r="I38" s="236">
        <v>5.2</v>
      </c>
      <c r="J38" s="172">
        <f t="shared" si="10"/>
        <v>1038.4615384615386</v>
      </c>
      <c r="K38" s="172"/>
      <c r="L38" s="173"/>
      <c r="M38" s="197"/>
      <c r="N38" s="150"/>
      <c r="O38" s="181"/>
      <c r="P38" s="178"/>
    </row>
    <row r="39" spans="1:16" ht="15.6" x14ac:dyDescent="0.3">
      <c r="A39" s="182" t="s">
        <v>107</v>
      </c>
      <c r="B39" s="160">
        <f>$W$5</f>
        <v>60</v>
      </c>
      <c r="C39" s="161">
        <f>$V$5</f>
        <v>30</v>
      </c>
      <c r="D39" s="161">
        <f t="shared" si="13"/>
        <v>135000</v>
      </c>
      <c r="E39" s="161">
        <f>'Carichi unitari'!$M$4</f>
        <v>3.2</v>
      </c>
      <c r="F39" s="162">
        <f t="shared" si="14"/>
        <v>421.875</v>
      </c>
      <c r="G39" s="162"/>
      <c r="H39" s="234">
        <f>12*'Carichi unitari'!$M$9*F39/E39^2/1000000/(1+0.5*(F39/G40+F39/G42))</f>
        <v>8.8993159196027989</v>
      </c>
      <c r="I39" s="160">
        <f>'Carichi unitari'!$M$4</f>
        <v>3.2</v>
      </c>
      <c r="J39" s="162">
        <f t="shared" si="10"/>
        <v>421.875</v>
      </c>
      <c r="K39" s="162"/>
      <c r="L39" s="163">
        <f>12*'Carichi unitari'!$M$9*J39/I39^2/1000000/(1+0.5*(J39/K40+J39/K42))</f>
        <v>8.428201747481106</v>
      </c>
      <c r="M39" s="190">
        <v>4</v>
      </c>
      <c r="N39" s="164"/>
      <c r="O39" s="165">
        <v>1</v>
      </c>
      <c r="P39" s="163"/>
    </row>
    <row r="40" spans="1:16" ht="15.6" x14ac:dyDescent="0.3">
      <c r="A40" s="183" t="s">
        <v>108</v>
      </c>
      <c r="B40" s="166">
        <f>$T$12</f>
        <v>100</v>
      </c>
      <c r="C40" s="54">
        <f>$U$12</f>
        <v>24</v>
      </c>
      <c r="D40" s="54">
        <f t="shared" si="13"/>
        <v>115200</v>
      </c>
      <c r="E40" s="90">
        <v>4.5999999999999996</v>
      </c>
      <c r="F40" s="167">
        <f t="shared" si="14"/>
        <v>250.43478260869568</v>
      </c>
      <c r="G40" s="167">
        <f>(F40+F41)/2</f>
        <v>464.89130434782612</v>
      </c>
      <c r="H40" s="245">
        <f>H39/$H$6</f>
        <v>0.42298282891756417</v>
      </c>
      <c r="I40" s="179">
        <v>5.2</v>
      </c>
      <c r="J40" s="167">
        <f t="shared" si="10"/>
        <v>221.53846153846155</v>
      </c>
      <c r="K40" s="167">
        <f>(J40+J41)/2</f>
        <v>411.25</v>
      </c>
      <c r="L40" s="243">
        <f>L39/L6</f>
        <v>0.43519395465994964</v>
      </c>
      <c r="M40" s="191"/>
      <c r="N40" s="149"/>
      <c r="O40" s="166"/>
      <c r="P40" s="168"/>
    </row>
    <row r="41" spans="1:16" x14ac:dyDescent="0.3">
      <c r="B41" s="166">
        <f>$T$5</f>
        <v>30</v>
      </c>
      <c r="C41" s="54">
        <f>$U$5</f>
        <v>50</v>
      </c>
      <c r="D41" s="54">
        <f t="shared" si="13"/>
        <v>312500</v>
      </c>
      <c r="E41" s="90">
        <v>4.5999999999999996</v>
      </c>
      <c r="F41" s="167">
        <f t="shared" si="14"/>
        <v>679.34782608695662</v>
      </c>
      <c r="G41" s="88"/>
      <c r="H41" s="239"/>
      <c r="I41" s="179">
        <v>5.2</v>
      </c>
      <c r="J41" s="167">
        <f t="shared" si="10"/>
        <v>600.96153846153845</v>
      </c>
      <c r="K41" s="88"/>
      <c r="L41" s="108"/>
      <c r="M41" s="198"/>
      <c r="N41" s="108"/>
      <c r="O41" s="188"/>
      <c r="P41" s="108"/>
    </row>
    <row r="42" spans="1:16" ht="16.2" thickBot="1" x14ac:dyDescent="0.35">
      <c r="A42" s="186" t="s">
        <v>109</v>
      </c>
      <c r="B42" s="166">
        <f>$T$12</f>
        <v>100</v>
      </c>
      <c r="C42" s="54">
        <f>$U$12</f>
        <v>24</v>
      </c>
      <c r="D42" s="54">
        <f t="shared" si="13"/>
        <v>115200</v>
      </c>
      <c r="E42" s="90">
        <v>4.5999999999999996</v>
      </c>
      <c r="F42" s="167">
        <f t="shared" si="14"/>
        <v>250.43478260869568</v>
      </c>
      <c r="G42" s="167">
        <f>(F42+F43)/2</f>
        <v>712.17391304347836</v>
      </c>
      <c r="H42" s="205"/>
      <c r="I42" s="179">
        <v>5.2</v>
      </c>
      <c r="J42" s="167">
        <f t="shared" si="10"/>
        <v>221.53846153846155</v>
      </c>
      <c r="K42" s="167">
        <f>(J42+J43)/2</f>
        <v>630</v>
      </c>
      <c r="L42" s="168"/>
      <c r="M42" s="191"/>
      <c r="N42" s="149"/>
      <c r="O42" s="166"/>
      <c r="P42" s="168"/>
    </row>
    <row r="43" spans="1:16" ht="15" thickBot="1" x14ac:dyDescent="0.35">
      <c r="B43" s="175">
        <f>$T$5</f>
        <v>30</v>
      </c>
      <c r="C43" s="52">
        <f>$U$6</f>
        <v>60</v>
      </c>
      <c r="D43" s="52">
        <f t="shared" si="13"/>
        <v>540000</v>
      </c>
      <c r="E43" s="176">
        <v>4.5999999999999996</v>
      </c>
      <c r="F43" s="177">
        <f t="shared" si="14"/>
        <v>1173.913043478261</v>
      </c>
      <c r="G43" s="39"/>
      <c r="H43" s="240"/>
      <c r="I43" s="180">
        <v>5.2</v>
      </c>
      <c r="J43" s="177">
        <f t="shared" si="10"/>
        <v>1038.4615384615386</v>
      </c>
      <c r="K43" s="39"/>
      <c r="L43" s="187"/>
      <c r="M43" s="199"/>
      <c r="N43" s="187"/>
      <c r="O43" s="189"/>
      <c r="P43" s="187"/>
    </row>
    <row r="45" spans="1:16" ht="15" thickBot="1" x14ac:dyDescent="0.35"/>
    <row r="46" spans="1:16" ht="16.2" thickBot="1" x14ac:dyDescent="0.35">
      <c r="A46" s="1"/>
      <c r="B46" s="404" t="s">
        <v>131</v>
      </c>
      <c r="C46" s="405"/>
      <c r="D46" s="405"/>
      <c r="E46" s="405"/>
      <c r="F46" s="405"/>
      <c r="G46" s="405"/>
      <c r="H46" s="406"/>
      <c r="I46" s="207"/>
      <c r="J46" s="207"/>
      <c r="K46" s="207"/>
      <c r="L46" s="207"/>
      <c r="M46" s="398" t="s">
        <v>113</v>
      </c>
      <c r="N46" s="399"/>
      <c r="O46" s="398" t="s">
        <v>138</v>
      </c>
      <c r="P46" s="399"/>
    </row>
    <row r="47" spans="1:16" ht="19.2" thickBot="1" x14ac:dyDescent="0.35">
      <c r="B47" s="151" t="s">
        <v>110</v>
      </c>
      <c r="C47" s="152" t="s">
        <v>111</v>
      </c>
      <c r="D47" s="152" t="s">
        <v>129</v>
      </c>
      <c r="E47" s="152" t="s">
        <v>114</v>
      </c>
      <c r="F47" s="152" t="s">
        <v>140</v>
      </c>
      <c r="G47" s="152"/>
      <c r="H47" s="153" t="s">
        <v>128</v>
      </c>
      <c r="I47" s="152" t="s">
        <v>114</v>
      </c>
      <c r="J47" s="152" t="s">
        <v>140</v>
      </c>
      <c r="K47" s="152"/>
      <c r="L47" s="153" t="s">
        <v>128</v>
      </c>
      <c r="M47" s="151" t="s">
        <v>112</v>
      </c>
      <c r="N47" s="154" t="s">
        <v>146</v>
      </c>
      <c r="O47" s="151" t="s">
        <v>112</v>
      </c>
      <c r="P47" s="154" t="s">
        <v>146</v>
      </c>
    </row>
    <row r="48" spans="1:16" ht="16.2" thickBot="1" x14ac:dyDescent="0.35">
      <c r="B48" s="395" t="s">
        <v>139</v>
      </c>
      <c r="C48" s="396"/>
      <c r="D48" s="396"/>
      <c r="E48" s="396"/>
      <c r="F48" s="396"/>
      <c r="G48" s="396"/>
      <c r="H48" s="396"/>
      <c r="I48" s="396"/>
      <c r="J48" s="396"/>
      <c r="K48" s="396"/>
      <c r="L48" s="396"/>
      <c r="M48" s="393"/>
      <c r="N48" s="393"/>
      <c r="O48" s="393"/>
      <c r="P48" s="394"/>
    </row>
    <row r="49" spans="1:16" ht="15.6" x14ac:dyDescent="0.3">
      <c r="A49" s="182" t="s">
        <v>107</v>
      </c>
      <c r="B49" s="160">
        <f>$V$6</f>
        <v>30</v>
      </c>
      <c r="C49" s="161">
        <f>$W$6</f>
        <v>60</v>
      </c>
      <c r="D49" s="161">
        <f>B49*C49^3/12</f>
        <v>540000</v>
      </c>
      <c r="E49" s="161">
        <f>'Carichi unitari'!$M$4</f>
        <v>3.2</v>
      </c>
      <c r="F49" s="162">
        <f>D49/(100*E49)</f>
        <v>1687.5</v>
      </c>
      <c r="G49" s="161"/>
      <c r="H49" s="234">
        <f>12*'Carichi unitari'!$M$9*F49/E49^2/1000000/(1+0.5*(F49/G50+F49/G51))</f>
        <v>25.555889423076916</v>
      </c>
      <c r="I49" s="160">
        <f>'Carichi unitari'!$M$4</f>
        <v>3.2</v>
      </c>
      <c r="J49" s="162">
        <f>D49/(100*I49)</f>
        <v>1687.5</v>
      </c>
      <c r="K49" s="162"/>
      <c r="L49" s="163">
        <f>12*'Carichi unitari'!$M$9*J49/I49^2/1000000/(1+0.5*(J49/K50+J49/K51))</f>
        <v>23.730468749999993</v>
      </c>
      <c r="M49" s="190">
        <v>7</v>
      </c>
      <c r="N49" s="163">
        <f>H49*M49+H52*M52+H56*M56+H59*M59+H63*M63+H66*M66+H70*M70+H73*M73+H77*M77+H82*M82</f>
        <v>365.02040300594314</v>
      </c>
      <c r="O49" s="165">
        <v>9</v>
      </c>
      <c r="P49" s="163">
        <f>L49*O49+L52*O52+L59*O59+L63*O63+L66*O66+L70*O70+L73*O73+L77*O77+L56*O56+L82*O82</f>
        <v>354.01432727117185</v>
      </c>
    </row>
    <row r="50" spans="1:16" ht="15.6" x14ac:dyDescent="0.3">
      <c r="A50" s="183" t="s">
        <v>108</v>
      </c>
      <c r="B50" s="166">
        <f>$T$6</f>
        <v>30</v>
      </c>
      <c r="C50" s="54">
        <f>$U$6</f>
        <v>60</v>
      </c>
      <c r="D50" s="54">
        <f t="shared" ref="D50:D54" si="15">B50*C50^3/12</f>
        <v>540000</v>
      </c>
      <c r="E50" s="90">
        <v>4.5999999999999996</v>
      </c>
      <c r="F50" s="167">
        <f t="shared" ref="F50:F54" si="16">D50/(100*E50)</f>
        <v>1173.913043478261</v>
      </c>
      <c r="G50" s="167">
        <f>(F50+F50)/2</f>
        <v>1173.913043478261</v>
      </c>
      <c r="H50" s="244">
        <f>H49/$H$49</f>
        <v>1</v>
      </c>
      <c r="I50" s="179">
        <v>5.2</v>
      </c>
      <c r="J50" s="167">
        <f t="shared" ref="J50:J54" si="17">D50/(100*I50)</f>
        <v>1038.4615384615386</v>
      </c>
      <c r="K50" s="167">
        <f>(J50+J50)/2</f>
        <v>1038.4615384615386</v>
      </c>
      <c r="L50" s="168">
        <f>L49/L49</f>
        <v>1</v>
      </c>
      <c r="M50" s="191"/>
      <c r="N50" s="243">
        <f>N49/H49</f>
        <v>14.283220472707573</v>
      </c>
      <c r="O50" s="169"/>
      <c r="P50" s="243">
        <f>P49/L49</f>
        <v>14.918134614225519</v>
      </c>
    </row>
    <row r="51" spans="1:16" ht="16.2" thickBot="1" x14ac:dyDescent="0.35">
      <c r="A51" s="184" t="s">
        <v>109</v>
      </c>
      <c r="B51" s="175">
        <f>$T$7</f>
        <v>30</v>
      </c>
      <c r="C51" s="52">
        <f>$U$7</f>
        <v>60</v>
      </c>
      <c r="D51" s="52">
        <f t="shared" si="15"/>
        <v>540000</v>
      </c>
      <c r="E51" s="176">
        <v>4.5999999999999996</v>
      </c>
      <c r="F51" s="177">
        <f t="shared" si="16"/>
        <v>1173.913043478261</v>
      </c>
      <c r="G51" s="177">
        <f>(F51+F51)/2</f>
        <v>1173.913043478261</v>
      </c>
      <c r="H51" s="206"/>
      <c r="I51" s="236">
        <v>5.2</v>
      </c>
      <c r="J51" s="172">
        <f t="shared" si="17"/>
        <v>1038.4615384615386</v>
      </c>
      <c r="K51" s="172">
        <f>(J51+J51)/2</f>
        <v>1038.4615384615386</v>
      </c>
      <c r="L51" s="173"/>
      <c r="M51" s="192"/>
      <c r="N51" s="159"/>
      <c r="O51" s="174"/>
      <c r="P51" s="173"/>
    </row>
    <row r="52" spans="1:16" ht="15.6" x14ac:dyDescent="0.3">
      <c r="A52" s="182" t="s">
        <v>107</v>
      </c>
      <c r="B52" s="160">
        <f>$W$6</f>
        <v>60</v>
      </c>
      <c r="C52" s="161">
        <f>$V$6</f>
        <v>30</v>
      </c>
      <c r="D52" s="161">
        <f t="shared" si="15"/>
        <v>135000</v>
      </c>
      <c r="E52" s="161">
        <f>'Carichi unitari'!$M$4</f>
        <v>3.2</v>
      </c>
      <c r="F52" s="162">
        <f t="shared" si="16"/>
        <v>421.875</v>
      </c>
      <c r="G52" s="162"/>
      <c r="H52" s="234">
        <f>12*'Carichi unitari'!$M$9*F52/E52^2/1000000/(1+0.5*(F52/G53+F52/G54))</f>
        <v>11.456088362068963</v>
      </c>
      <c r="I52" s="160">
        <f>'Carichi unitari'!$M$4</f>
        <v>3.2</v>
      </c>
      <c r="J52" s="162">
        <f t="shared" si="17"/>
        <v>421.875</v>
      </c>
      <c r="K52" s="162"/>
      <c r="L52" s="163">
        <f>12*'Carichi unitari'!$M$9*J52/I52^2/1000000/(1+0.5*(J52/K53+J52/K54))</f>
        <v>11.074218749999998</v>
      </c>
      <c r="M52" s="190">
        <v>1</v>
      </c>
      <c r="N52" s="164"/>
      <c r="O52" s="165">
        <v>1</v>
      </c>
      <c r="P52" s="163"/>
    </row>
    <row r="53" spans="1:16" ht="15.6" x14ac:dyDescent="0.3">
      <c r="A53" s="183" t="s">
        <v>108</v>
      </c>
      <c r="B53" s="166">
        <f>$T$6</f>
        <v>30</v>
      </c>
      <c r="C53" s="54">
        <f>$U$6</f>
        <v>60</v>
      </c>
      <c r="D53" s="54">
        <f t="shared" si="15"/>
        <v>540000</v>
      </c>
      <c r="E53" s="90">
        <v>4.5999999999999996</v>
      </c>
      <c r="F53" s="167">
        <f t="shared" si="16"/>
        <v>1173.913043478261</v>
      </c>
      <c r="G53" s="167">
        <f>(F53+F53)/2</f>
        <v>1173.913043478261</v>
      </c>
      <c r="H53" s="245">
        <f>H52/$H$50</f>
        <v>11.456088362068963</v>
      </c>
      <c r="I53" s="179">
        <v>5.2</v>
      </c>
      <c r="J53" s="167">
        <f t="shared" si="17"/>
        <v>1038.4615384615386</v>
      </c>
      <c r="K53" s="167">
        <f>(J53+J53)/2</f>
        <v>1038.4615384615386</v>
      </c>
      <c r="L53" s="243">
        <f>L52/L49</f>
        <v>0.46666666666666673</v>
      </c>
      <c r="M53" s="191"/>
      <c r="N53" s="149"/>
      <c r="O53" s="166"/>
      <c r="P53" s="168"/>
    </row>
    <row r="54" spans="1:16" ht="16.2" thickBot="1" x14ac:dyDescent="0.35">
      <c r="A54" s="186" t="s">
        <v>109</v>
      </c>
      <c r="B54" s="175">
        <f>$T$7</f>
        <v>30</v>
      </c>
      <c r="C54" s="52">
        <f>$U$7</f>
        <v>60</v>
      </c>
      <c r="D54" s="52">
        <f t="shared" si="15"/>
        <v>540000</v>
      </c>
      <c r="E54" s="176">
        <v>4.5999999999999996</v>
      </c>
      <c r="F54" s="177">
        <f t="shared" si="16"/>
        <v>1173.913043478261</v>
      </c>
      <c r="G54" s="177">
        <f>(F54+F54)/2</f>
        <v>1173.913043478261</v>
      </c>
      <c r="H54" s="206"/>
      <c r="I54" s="180">
        <v>5.2</v>
      </c>
      <c r="J54" s="177">
        <f t="shared" si="17"/>
        <v>1038.4615384615386</v>
      </c>
      <c r="K54" s="177">
        <f>(J54+J54)/2</f>
        <v>1038.4615384615386</v>
      </c>
      <c r="L54" s="178"/>
      <c r="M54" s="197"/>
      <c r="N54" s="150"/>
      <c r="O54" s="175"/>
      <c r="P54" s="178"/>
    </row>
    <row r="55" spans="1:16" ht="16.2" thickBot="1" x14ac:dyDescent="0.35">
      <c r="B55" s="408" t="s">
        <v>144</v>
      </c>
      <c r="C55" s="402"/>
      <c r="D55" s="402"/>
      <c r="E55" s="402"/>
      <c r="F55" s="402"/>
      <c r="G55" s="402"/>
      <c r="H55" s="402"/>
      <c r="I55" s="402"/>
      <c r="J55" s="402"/>
      <c r="K55" s="402"/>
      <c r="L55" s="402"/>
      <c r="M55" s="401"/>
      <c r="N55" s="401"/>
      <c r="O55" s="401"/>
      <c r="P55" s="403"/>
    </row>
    <row r="56" spans="1:16" ht="15.6" x14ac:dyDescent="0.3">
      <c r="A56" s="182" t="s">
        <v>107</v>
      </c>
      <c r="B56" s="160">
        <f>$V$6</f>
        <v>30</v>
      </c>
      <c r="C56" s="161">
        <f>$W$6</f>
        <v>60</v>
      </c>
      <c r="D56" s="161">
        <f>B56*C56^3/12</f>
        <v>540000</v>
      </c>
      <c r="E56" s="161">
        <f>'Carichi unitari'!$M$4</f>
        <v>3.2</v>
      </c>
      <c r="F56" s="162">
        <f>D56/(100*E56)</f>
        <v>1687.5</v>
      </c>
      <c r="G56" s="161"/>
      <c r="H56" s="234">
        <f>12*'Carichi unitari'!$M$9*F56/E56^2/1000000/(1+0.5*(F56/G57+F56/G58))</f>
        <v>8.0499116607773846</v>
      </c>
      <c r="I56" s="160">
        <f>'Carichi unitari'!$M$4</f>
        <v>3.2</v>
      </c>
      <c r="J56" s="162">
        <f>D56/(100*I56)</f>
        <v>1687.5</v>
      </c>
      <c r="K56" s="162"/>
      <c r="L56" s="163">
        <f>12*'Carichi unitari'!$M$9*J56/I56^2/1000000/(1+0.5*(J56/K57+J56/K58))</f>
        <v>7.228864460562102</v>
      </c>
      <c r="M56" s="190">
        <v>1</v>
      </c>
      <c r="N56" s="163"/>
      <c r="O56" s="165">
        <v>0</v>
      </c>
      <c r="P56" s="163"/>
    </row>
    <row r="57" spans="1:16" ht="15.6" x14ac:dyDescent="0.3">
      <c r="A57" s="183" t="s">
        <v>108</v>
      </c>
      <c r="B57" s="166">
        <f>$T$12</f>
        <v>100</v>
      </c>
      <c r="C57" s="54">
        <f>$U$12</f>
        <v>24</v>
      </c>
      <c r="D57" s="54">
        <f t="shared" ref="D57:D58" si="18">B57*C57^3/12</f>
        <v>115200</v>
      </c>
      <c r="E57" s="90">
        <v>4.5999999999999996</v>
      </c>
      <c r="F57" s="167">
        <f t="shared" ref="F57:F58" si="19">D57/(100*E57)</f>
        <v>250.43478260869568</v>
      </c>
      <c r="G57" s="167">
        <f>(F57+F57)/2</f>
        <v>250.43478260869568</v>
      </c>
      <c r="H57" s="205"/>
      <c r="I57" s="179">
        <v>5.2</v>
      </c>
      <c r="J57" s="167">
        <f t="shared" ref="J57:J61" si="20">D57/(100*I57)</f>
        <v>221.53846153846155</v>
      </c>
      <c r="K57" s="167">
        <f>(J57+J57)/2</f>
        <v>221.53846153846155</v>
      </c>
      <c r="L57" s="243">
        <f>L56/L49</f>
        <v>0.30462375339981873</v>
      </c>
      <c r="M57" s="191"/>
      <c r="N57" s="149"/>
      <c r="O57" s="169"/>
      <c r="P57" s="168"/>
    </row>
    <row r="58" spans="1:16" ht="16.2" thickBot="1" x14ac:dyDescent="0.35">
      <c r="A58" s="184" t="s">
        <v>109</v>
      </c>
      <c r="B58" s="175">
        <f>$T$12</f>
        <v>100</v>
      </c>
      <c r="C58" s="52">
        <f>$U$12</f>
        <v>24</v>
      </c>
      <c r="D58" s="52">
        <f t="shared" si="18"/>
        <v>115200</v>
      </c>
      <c r="E58" s="176">
        <v>4.5999999999999996</v>
      </c>
      <c r="F58" s="177">
        <f t="shared" si="19"/>
        <v>250.43478260869568</v>
      </c>
      <c r="G58" s="177">
        <f>(F58+F58)/2</f>
        <v>250.43478260869568</v>
      </c>
      <c r="H58" s="206"/>
      <c r="I58" s="236">
        <v>5.2</v>
      </c>
      <c r="J58" s="172">
        <f t="shared" si="20"/>
        <v>221.53846153846155</v>
      </c>
      <c r="K58" s="172">
        <f>(J58+J58)/2</f>
        <v>221.53846153846155</v>
      </c>
      <c r="L58" s="173"/>
      <c r="M58" s="197"/>
      <c r="N58" s="150"/>
      <c r="O58" s="181"/>
      <c r="P58" s="178"/>
    </row>
    <row r="59" spans="1:16" ht="15.6" x14ac:dyDescent="0.3">
      <c r="A59" s="182" t="s">
        <v>107</v>
      </c>
      <c r="B59" s="160">
        <f>$W$6</f>
        <v>60</v>
      </c>
      <c r="C59" s="161">
        <f>$V$6</f>
        <v>30</v>
      </c>
      <c r="D59" s="161">
        <f>B59*C59^3/12</f>
        <v>135000</v>
      </c>
      <c r="E59" s="161">
        <f>'Carichi unitari'!$M$4</f>
        <v>3.2</v>
      </c>
      <c r="F59" s="161">
        <f>D59/(100*E59)</f>
        <v>421.875</v>
      </c>
      <c r="G59" s="161"/>
      <c r="H59" s="234">
        <f>12*'Carichi unitari'!$M$9*F59/E59^2/1000000/(1+0.5*(F59/G60+F59/G61))</f>
        <v>5.8009730811204063</v>
      </c>
      <c r="I59" s="160">
        <f>'Carichi unitari'!$M$4</f>
        <v>3.2</v>
      </c>
      <c r="J59" s="162">
        <f t="shared" si="20"/>
        <v>421.875</v>
      </c>
      <c r="K59" s="162"/>
      <c r="L59" s="163">
        <f>12*'Carichi unitari'!$M$9*J59/I59^2/1000000/(1+0.5*(J59/K60+J59/K61))</f>
        <v>5.3620965030262262</v>
      </c>
      <c r="M59" s="190">
        <v>1</v>
      </c>
      <c r="N59" s="164"/>
      <c r="O59" s="160">
        <v>0</v>
      </c>
      <c r="P59" s="163"/>
    </row>
    <row r="60" spans="1:16" ht="15.6" x14ac:dyDescent="0.3">
      <c r="A60" s="183" t="s">
        <v>108</v>
      </c>
      <c r="B60" s="166">
        <f>$T$12</f>
        <v>100</v>
      </c>
      <c r="C60" s="54">
        <f>$U$12</f>
        <v>24</v>
      </c>
      <c r="D60" s="54">
        <f>B60*C60^3/12</f>
        <v>115200</v>
      </c>
      <c r="E60" s="90">
        <v>4.5999999999999996</v>
      </c>
      <c r="F60" s="54">
        <f>D60/(100*E60)</f>
        <v>250.43478260869568</v>
      </c>
      <c r="G60" s="167">
        <f t="shared" ref="G60:G61" si="21">(F60+F60)/2</f>
        <v>250.43478260869568</v>
      </c>
      <c r="H60" s="205"/>
      <c r="I60" s="179">
        <v>5.2</v>
      </c>
      <c r="J60" s="167">
        <f t="shared" si="20"/>
        <v>221.53846153846155</v>
      </c>
      <c r="K60" s="167">
        <f t="shared" ref="K60:K61" si="22">(J60+J60)/2</f>
        <v>221.53846153846155</v>
      </c>
      <c r="L60" s="243">
        <f>L59/L49</f>
        <v>0.22595830531271019</v>
      </c>
      <c r="M60" s="237"/>
      <c r="N60" s="149"/>
      <c r="O60" s="166"/>
      <c r="P60" s="168"/>
    </row>
    <row r="61" spans="1:16" ht="16.2" thickBot="1" x14ac:dyDescent="0.35">
      <c r="A61" s="186" t="s">
        <v>109</v>
      </c>
      <c r="B61" s="175">
        <f>$T$12</f>
        <v>100</v>
      </c>
      <c r="C61" s="52">
        <f>$U$12</f>
        <v>24</v>
      </c>
      <c r="D61" s="52">
        <f>B61*C61^3/12</f>
        <v>115200</v>
      </c>
      <c r="E61" s="176">
        <v>4.5999999999999996</v>
      </c>
      <c r="F61" s="52">
        <f>D61/(100*E61)</f>
        <v>250.43478260869568</v>
      </c>
      <c r="G61" s="177">
        <f t="shared" si="21"/>
        <v>250.43478260869568</v>
      </c>
      <c r="H61" s="206"/>
      <c r="I61" s="180">
        <v>5.2</v>
      </c>
      <c r="J61" s="177">
        <f t="shared" si="20"/>
        <v>221.53846153846155</v>
      </c>
      <c r="K61" s="177">
        <f t="shared" si="22"/>
        <v>221.53846153846155</v>
      </c>
      <c r="L61" s="178"/>
      <c r="M61" s="238"/>
      <c r="N61" s="150"/>
      <c r="O61" s="175"/>
      <c r="P61" s="178"/>
    </row>
    <row r="62" spans="1:16" ht="16.2" thickBot="1" x14ac:dyDescent="0.35">
      <c r="B62" s="407" t="s">
        <v>147</v>
      </c>
      <c r="C62" s="390"/>
      <c r="D62" s="390"/>
      <c r="E62" s="390"/>
      <c r="F62" s="390"/>
      <c r="G62" s="390"/>
      <c r="H62" s="390"/>
      <c r="I62" s="390"/>
      <c r="J62" s="390"/>
      <c r="K62" s="390"/>
      <c r="L62" s="390"/>
      <c r="M62" s="389"/>
      <c r="N62" s="389"/>
      <c r="O62" s="389"/>
      <c r="P62" s="391"/>
    </row>
    <row r="63" spans="1:16" ht="15.6" x14ac:dyDescent="0.3">
      <c r="A63" s="182" t="s">
        <v>107</v>
      </c>
      <c r="B63" s="160">
        <f>$V$6</f>
        <v>30</v>
      </c>
      <c r="C63" s="161">
        <f>$W$6</f>
        <v>60</v>
      </c>
      <c r="D63" s="161">
        <f>B63*C63^3/12</f>
        <v>540000</v>
      </c>
      <c r="E63" s="161">
        <f>'Carichi unitari'!$M$4</f>
        <v>3.2</v>
      </c>
      <c r="F63" s="162">
        <f>D63/(100*E63)</f>
        <v>1687.5</v>
      </c>
      <c r="G63" s="161"/>
      <c r="H63" s="234">
        <f>12*'Carichi unitari'!$M$9*F63/E63^2/1000000/(1+0.5*(F63/G64+F63/G65))</f>
        <v>16.07547883064516</v>
      </c>
      <c r="I63" s="160">
        <f>'Carichi unitari'!$M$4</f>
        <v>3.2</v>
      </c>
      <c r="J63" s="162">
        <f>D63/(100*I63)</f>
        <v>1687.5</v>
      </c>
      <c r="K63" s="162"/>
      <c r="L63" s="163">
        <f>12*'Carichi unitari'!$M$9*J63/I63^2/1000000/(1+0.5*(J63/K64+J63/K65))</f>
        <v>14.657054227941174</v>
      </c>
      <c r="M63" s="190">
        <v>6</v>
      </c>
      <c r="N63" s="164"/>
      <c r="O63" s="165">
        <v>0</v>
      </c>
      <c r="P63" s="163"/>
    </row>
    <row r="64" spans="1:16" ht="15.6" x14ac:dyDescent="0.3">
      <c r="A64" s="183" t="s">
        <v>108</v>
      </c>
      <c r="B64" s="166">
        <f>$T$6</f>
        <v>30</v>
      </c>
      <c r="C64" s="54">
        <f>$U$6</f>
        <v>60</v>
      </c>
      <c r="D64" s="54">
        <f t="shared" ref="D64:D68" si="23">B64*C64^3/12</f>
        <v>540000</v>
      </c>
      <c r="E64" s="90">
        <v>4.5999999999999996</v>
      </c>
      <c r="F64" s="167">
        <f t="shared" ref="F64:F68" si="24">D64/(100*E64)</f>
        <v>1173.913043478261</v>
      </c>
      <c r="G64" s="167">
        <f>(F64)/2</f>
        <v>586.95652173913049</v>
      </c>
      <c r="H64" s="205"/>
      <c r="I64" s="179">
        <v>5.2</v>
      </c>
      <c r="J64" s="167">
        <f t="shared" ref="J64:J68" si="25">D64/(100*I64)</f>
        <v>1038.4615384615386</v>
      </c>
      <c r="K64" s="167">
        <f>(J64)/2</f>
        <v>519.23076923076928</v>
      </c>
      <c r="L64" s="243">
        <f>L63/L49</f>
        <v>0.61764705882352944</v>
      </c>
      <c r="M64" s="191"/>
      <c r="N64" s="149"/>
      <c r="O64" s="169"/>
      <c r="P64" s="168"/>
    </row>
    <row r="65" spans="1:16" ht="16.2" thickBot="1" x14ac:dyDescent="0.35">
      <c r="A65" s="184" t="s">
        <v>109</v>
      </c>
      <c r="B65" s="170">
        <f>$T$7</f>
        <v>30</v>
      </c>
      <c r="C65" s="171">
        <f>$U$7</f>
        <v>60</v>
      </c>
      <c r="D65" s="171">
        <f t="shared" si="23"/>
        <v>540000</v>
      </c>
      <c r="E65" s="144">
        <v>4.5999999999999996</v>
      </c>
      <c r="F65" s="172">
        <f t="shared" si="24"/>
        <v>1173.913043478261</v>
      </c>
      <c r="G65" s="172">
        <f>(F65)/2</f>
        <v>586.95652173913049</v>
      </c>
      <c r="H65" s="235"/>
      <c r="I65" s="236">
        <v>5.2</v>
      </c>
      <c r="J65" s="172">
        <f t="shared" si="25"/>
        <v>1038.4615384615386</v>
      </c>
      <c r="K65" s="172">
        <f>(J65)/2</f>
        <v>519.23076923076928</v>
      </c>
      <c r="L65" s="173"/>
      <c r="M65" s="197"/>
      <c r="N65" s="150"/>
      <c r="O65" s="181"/>
      <c r="P65" s="178"/>
    </row>
    <row r="66" spans="1:16" ht="15.6" x14ac:dyDescent="0.3">
      <c r="A66" s="182" t="s">
        <v>107</v>
      </c>
      <c r="B66" s="160">
        <f>$W$6</f>
        <v>60</v>
      </c>
      <c r="C66" s="161">
        <f>$V$6</f>
        <v>30</v>
      </c>
      <c r="D66" s="161">
        <f t="shared" si="23"/>
        <v>135000</v>
      </c>
      <c r="E66" s="161">
        <f>'Carichi unitari'!$M$4</f>
        <v>3.2</v>
      </c>
      <c r="F66" s="162">
        <f t="shared" si="24"/>
        <v>421.875</v>
      </c>
      <c r="G66" s="162"/>
      <c r="H66" s="234">
        <f>12*'Carichi unitari'!$M$9*F66/E66^2/1000000/(1+0.5*(F66/G67+F66/G68))</f>
        <v>9.0607244318181799</v>
      </c>
      <c r="I66" s="160">
        <f>'Carichi unitari'!$M$4</f>
        <v>3.2</v>
      </c>
      <c r="J66" s="162">
        <f t="shared" si="25"/>
        <v>421.875</v>
      </c>
      <c r="K66" s="162"/>
      <c r="L66" s="163">
        <f>12*'Carichi unitari'!$M$9*J66/I66^2/1000000/(1+0.5*(J66/K67+J66/K68))</f>
        <v>8.5920662715517224</v>
      </c>
      <c r="M66" s="190">
        <v>2</v>
      </c>
      <c r="N66" s="164"/>
      <c r="O66" s="165">
        <v>12</v>
      </c>
      <c r="P66" s="163"/>
    </row>
    <row r="67" spans="1:16" ht="15.6" x14ac:dyDescent="0.3">
      <c r="A67" s="183" t="s">
        <v>108</v>
      </c>
      <c r="B67" s="166">
        <f>$T$6</f>
        <v>30</v>
      </c>
      <c r="C67" s="54">
        <f>$U$6</f>
        <v>60</v>
      </c>
      <c r="D67" s="54">
        <f t="shared" si="23"/>
        <v>540000</v>
      </c>
      <c r="E67" s="90">
        <v>4.5999999999999996</v>
      </c>
      <c r="F67" s="167">
        <f t="shared" si="24"/>
        <v>1173.913043478261</v>
      </c>
      <c r="G67" s="167">
        <f>(F67)/2</f>
        <v>586.95652173913049</v>
      </c>
      <c r="H67" s="205"/>
      <c r="I67" s="179">
        <v>5.2</v>
      </c>
      <c r="J67" s="167">
        <f t="shared" si="25"/>
        <v>1038.4615384615386</v>
      </c>
      <c r="K67" s="167">
        <f>(J67)/2</f>
        <v>519.23076923076928</v>
      </c>
      <c r="L67" s="243">
        <f>L66/L49</f>
        <v>0.36206896551724144</v>
      </c>
      <c r="M67" s="191"/>
      <c r="N67" s="149"/>
      <c r="O67" s="166"/>
      <c r="P67" s="168"/>
    </row>
    <row r="68" spans="1:16" ht="16.2" thickBot="1" x14ac:dyDescent="0.35">
      <c r="A68" s="186" t="s">
        <v>109</v>
      </c>
      <c r="B68" s="175">
        <f>$T$7</f>
        <v>30</v>
      </c>
      <c r="C68" s="52">
        <f>$U$7</f>
        <v>60</v>
      </c>
      <c r="D68" s="52">
        <f t="shared" si="23"/>
        <v>540000</v>
      </c>
      <c r="E68" s="176">
        <v>4.5999999999999996</v>
      </c>
      <c r="F68" s="177">
        <f t="shared" si="24"/>
        <v>1173.913043478261</v>
      </c>
      <c r="G68" s="177">
        <f>(F68)/2</f>
        <v>586.95652173913049</v>
      </c>
      <c r="H68" s="206"/>
      <c r="I68" s="180">
        <v>5.2</v>
      </c>
      <c r="J68" s="177">
        <f t="shared" si="25"/>
        <v>1038.4615384615386</v>
      </c>
      <c r="K68" s="177">
        <f>(J68)/2</f>
        <v>519.23076923076928</v>
      </c>
      <c r="L68" s="178"/>
      <c r="M68" s="197"/>
      <c r="N68" s="150"/>
      <c r="O68" s="175"/>
      <c r="P68" s="178"/>
    </row>
    <row r="69" spans="1:16" ht="16.2" thickBot="1" x14ac:dyDescent="0.35">
      <c r="B69" s="407" t="s">
        <v>148</v>
      </c>
      <c r="C69" s="390"/>
      <c r="D69" s="390"/>
      <c r="E69" s="390"/>
      <c r="F69" s="390"/>
      <c r="G69" s="390"/>
      <c r="H69" s="390"/>
      <c r="I69" s="390"/>
      <c r="J69" s="390"/>
      <c r="K69" s="390"/>
      <c r="L69" s="390"/>
      <c r="M69" s="393"/>
      <c r="N69" s="393"/>
      <c r="O69" s="393"/>
      <c r="P69" s="394"/>
    </row>
    <row r="70" spans="1:16" ht="15.6" x14ac:dyDescent="0.3">
      <c r="A70" s="182" t="s">
        <v>107</v>
      </c>
      <c r="B70" s="160">
        <f>$V$6</f>
        <v>30</v>
      </c>
      <c r="C70" s="161">
        <f>$W$6</f>
        <v>60</v>
      </c>
      <c r="D70" s="161">
        <f>B70*C70^3/12</f>
        <v>540000</v>
      </c>
      <c r="E70" s="161">
        <f>'Carichi unitari'!$M$4</f>
        <v>3.2</v>
      </c>
      <c r="F70" s="162">
        <f>D70/(100*E70)</f>
        <v>1687.5</v>
      </c>
      <c r="G70" s="161"/>
      <c r="H70" s="234">
        <f>12*'Carichi unitari'!$M$9*F70/E70^2/1000000/(1+0.5*(F70/G71+F70/G72))</f>
        <v>4.3029883971937393</v>
      </c>
      <c r="I70" s="160">
        <f>'Carichi unitari'!$M$4</f>
        <v>3.2</v>
      </c>
      <c r="J70" s="162">
        <f>D70/(100*I70)</f>
        <v>1687.5</v>
      </c>
      <c r="K70" s="162"/>
      <c r="L70" s="163">
        <f>12*'Carichi unitari'!$M$9*J70/I70^2/1000000/(1+0.5*(J70/K71+J70/K72))</f>
        <v>3.8370729066410001</v>
      </c>
      <c r="M70" s="190">
        <v>0</v>
      </c>
      <c r="N70" s="164"/>
      <c r="O70" s="165">
        <v>0</v>
      </c>
      <c r="P70" s="163"/>
    </row>
    <row r="71" spans="1:16" ht="15.6" x14ac:dyDescent="0.3">
      <c r="A71" s="183" t="s">
        <v>108</v>
      </c>
      <c r="B71" s="166">
        <f>$T$12</f>
        <v>100</v>
      </c>
      <c r="C71" s="54">
        <f>$U$12</f>
        <v>24</v>
      </c>
      <c r="D71" s="54">
        <f t="shared" ref="D71:D75" si="26">B71*C71^3/12</f>
        <v>115200</v>
      </c>
      <c r="E71" s="90">
        <v>4.5999999999999996</v>
      </c>
      <c r="F71" s="167">
        <f t="shared" ref="F71:F75" si="27">D71/(100*E71)</f>
        <v>250.43478260869568</v>
      </c>
      <c r="G71" s="167">
        <f>(F71)/2</f>
        <v>125.21739130434784</v>
      </c>
      <c r="H71" s="205"/>
      <c r="I71" s="179">
        <v>5.2</v>
      </c>
      <c r="J71" s="167">
        <f t="shared" ref="J71:J86" si="28">D71/(100*I71)</f>
        <v>221.53846153846155</v>
      </c>
      <c r="K71" s="167">
        <f>(J71)/2</f>
        <v>110.76923076923077</v>
      </c>
      <c r="L71" s="243">
        <f>L70/L49</f>
        <v>0.16169393647738212</v>
      </c>
      <c r="M71" s="191"/>
      <c r="N71" s="149"/>
      <c r="O71" s="169"/>
      <c r="P71" s="168"/>
    </row>
    <row r="72" spans="1:16" ht="16.2" thickBot="1" x14ac:dyDescent="0.35">
      <c r="A72" s="184" t="s">
        <v>109</v>
      </c>
      <c r="B72" s="175">
        <f>$T$12</f>
        <v>100</v>
      </c>
      <c r="C72" s="52">
        <f>$U$12</f>
        <v>24</v>
      </c>
      <c r="D72" s="52">
        <f t="shared" si="26"/>
        <v>115200</v>
      </c>
      <c r="E72" s="176">
        <v>4.5999999999999996</v>
      </c>
      <c r="F72" s="177">
        <f t="shared" si="27"/>
        <v>250.43478260869568</v>
      </c>
      <c r="G72" s="177">
        <f>(F72)/2</f>
        <v>125.21739130434784</v>
      </c>
      <c r="H72" s="206"/>
      <c r="I72" s="180">
        <v>5.2</v>
      </c>
      <c r="J72" s="177">
        <f t="shared" si="28"/>
        <v>221.53846153846155</v>
      </c>
      <c r="K72" s="177">
        <f>(J72)/2</f>
        <v>110.76923076923077</v>
      </c>
      <c r="L72" s="178"/>
      <c r="M72" s="197"/>
      <c r="N72" s="150"/>
      <c r="O72" s="181"/>
      <c r="P72" s="178"/>
    </row>
    <row r="73" spans="1:16" ht="15.6" x14ac:dyDescent="0.3">
      <c r="A73" s="155" t="s">
        <v>107</v>
      </c>
      <c r="B73" s="193">
        <f>$W$6</f>
        <v>60</v>
      </c>
      <c r="C73" s="194">
        <f>$V$6</f>
        <v>30</v>
      </c>
      <c r="D73" s="194">
        <f t="shared" si="26"/>
        <v>135000</v>
      </c>
      <c r="E73" s="194">
        <f>'Carichi unitari'!$M$4</f>
        <v>3.2</v>
      </c>
      <c r="F73" s="195">
        <f t="shared" si="27"/>
        <v>421.875</v>
      </c>
      <c r="G73" s="195"/>
      <c r="H73" s="241">
        <f>12*'Carichi unitari'!$M$9*F73/E73^2/1000000/(1+0.5*(F73/G74+F73/G75))</f>
        <v>3.5643439874832357</v>
      </c>
      <c r="I73" s="160">
        <f>'Carichi unitari'!$M$4</f>
        <v>3.2</v>
      </c>
      <c r="J73" s="162">
        <f t="shared" si="28"/>
        <v>421.875</v>
      </c>
      <c r="K73" s="162"/>
      <c r="L73" s="163">
        <f>12*'Carichi unitari'!$M$9*J73/I73^2/1000000/(1+0.5*(J73/K74+J73/K75))</f>
        <v>3.2386017465475216</v>
      </c>
      <c r="M73" s="190">
        <v>2</v>
      </c>
      <c r="N73" s="164"/>
      <c r="O73" s="165">
        <v>0</v>
      </c>
      <c r="P73" s="163"/>
    </row>
    <row r="74" spans="1:16" ht="15.6" x14ac:dyDescent="0.3">
      <c r="A74" s="156" t="s">
        <v>108</v>
      </c>
      <c r="B74" s="166">
        <f>$T$12</f>
        <v>100</v>
      </c>
      <c r="C74" s="54">
        <f>$U$12</f>
        <v>24</v>
      </c>
      <c r="D74" s="54">
        <f t="shared" si="26"/>
        <v>115200</v>
      </c>
      <c r="E74" s="90">
        <v>4.5999999999999996</v>
      </c>
      <c r="F74" s="167">
        <f t="shared" si="27"/>
        <v>250.43478260869568</v>
      </c>
      <c r="G74" s="167">
        <f>(F74)/2</f>
        <v>125.21739130434784</v>
      </c>
      <c r="H74" s="205"/>
      <c r="I74" s="179">
        <v>5.2</v>
      </c>
      <c r="J74" s="167">
        <f t="shared" si="28"/>
        <v>221.53846153846155</v>
      </c>
      <c r="K74" s="167">
        <f>(J74)/2</f>
        <v>110.76923076923077</v>
      </c>
      <c r="L74" s="243">
        <f>L73/L49</f>
        <v>0.13647441104792851</v>
      </c>
      <c r="M74" s="191"/>
      <c r="N74" s="149"/>
      <c r="O74" s="166"/>
      <c r="P74" s="168"/>
    </row>
    <row r="75" spans="1:16" ht="16.2" thickBot="1" x14ac:dyDescent="0.35">
      <c r="A75" s="157" t="s">
        <v>109</v>
      </c>
      <c r="B75" s="166">
        <f>$T$12</f>
        <v>100</v>
      </c>
      <c r="C75" s="54">
        <f>$U$12</f>
        <v>24</v>
      </c>
      <c r="D75" s="52">
        <f t="shared" si="26"/>
        <v>115200</v>
      </c>
      <c r="E75" s="176">
        <v>4.5999999999999996</v>
      </c>
      <c r="F75" s="177">
        <f t="shared" si="27"/>
        <v>250.43478260869568</v>
      </c>
      <c r="G75" s="177">
        <f>(F75)/2</f>
        <v>125.21739130434784</v>
      </c>
      <c r="H75" s="206"/>
      <c r="I75" s="180">
        <v>5.2</v>
      </c>
      <c r="J75" s="177">
        <f t="shared" si="28"/>
        <v>221.53846153846155</v>
      </c>
      <c r="K75" s="177">
        <f>(J75)/2</f>
        <v>110.76923076923077</v>
      </c>
      <c r="L75" s="178"/>
      <c r="M75" s="197"/>
      <c r="N75" s="150"/>
      <c r="O75" s="175"/>
      <c r="P75" s="178"/>
    </row>
    <row r="76" spans="1:16" ht="16.2" thickBot="1" x14ac:dyDescent="0.35">
      <c r="B76" s="395" t="s">
        <v>149</v>
      </c>
      <c r="C76" s="396"/>
      <c r="D76" s="396"/>
      <c r="E76" s="396"/>
      <c r="F76" s="396"/>
      <c r="G76" s="396"/>
      <c r="H76" s="396"/>
      <c r="I76" s="390"/>
      <c r="J76" s="390"/>
      <c r="K76" s="390"/>
      <c r="L76" s="390"/>
      <c r="M76" s="396"/>
      <c r="N76" s="396"/>
      <c r="O76" s="396"/>
      <c r="P76" s="397"/>
    </row>
    <row r="77" spans="1:16" ht="15.6" x14ac:dyDescent="0.3">
      <c r="A77" s="182" t="s">
        <v>107</v>
      </c>
      <c r="B77" s="160">
        <f>$V$6</f>
        <v>30</v>
      </c>
      <c r="C77" s="161">
        <f>$W$6</f>
        <v>60</v>
      </c>
      <c r="D77" s="161">
        <f>B77*C77^3/12</f>
        <v>540000</v>
      </c>
      <c r="E77" s="161">
        <f>'Carichi unitari'!$M$4</f>
        <v>3.2</v>
      </c>
      <c r="F77" s="162">
        <f>D77/(100*E77)</f>
        <v>1687.5</v>
      </c>
      <c r="G77" s="161"/>
      <c r="H77" s="234">
        <f>12*'Carichi unitari'!$M$9*F77/E77^2/1000000/(1+0.5*(F77/G78+F77/G80))</f>
        <v>18.48712832501019</v>
      </c>
      <c r="I77" s="160">
        <f>'Carichi unitari'!$M$4</f>
        <v>3.2</v>
      </c>
      <c r="J77" s="162">
        <f t="shared" si="28"/>
        <v>1687.5</v>
      </c>
      <c r="K77" s="162"/>
      <c r="L77" s="163">
        <f>12*'Carichi unitari'!$M$9*J77/I77^2/1000000/(1+0.5*(J77/K78+J77/K80))</f>
        <v>16.93387818567961</v>
      </c>
      <c r="M77" s="190">
        <v>0</v>
      </c>
      <c r="N77" s="164"/>
      <c r="O77" s="165">
        <v>1</v>
      </c>
      <c r="P77" s="163"/>
    </row>
    <row r="78" spans="1:16" ht="15.6" x14ac:dyDescent="0.3">
      <c r="A78" s="183" t="s">
        <v>108</v>
      </c>
      <c r="B78" s="166">
        <f>$T$12</f>
        <v>100</v>
      </c>
      <c r="C78" s="54">
        <f>$U$12</f>
        <v>24</v>
      </c>
      <c r="D78" s="54">
        <f t="shared" ref="D78:D86" si="29">B78*C78^3/12</f>
        <v>115200</v>
      </c>
      <c r="E78" s="90">
        <v>4.5999999999999996</v>
      </c>
      <c r="F78" s="167">
        <f t="shared" ref="F78:F86" si="30">D78/(100*E78)</f>
        <v>250.43478260869568</v>
      </c>
      <c r="G78" s="167">
        <f>(F78+F79)/2</f>
        <v>712.17391304347836</v>
      </c>
      <c r="H78" s="205"/>
      <c r="I78" s="179">
        <v>5.2</v>
      </c>
      <c r="J78" s="167">
        <f t="shared" si="28"/>
        <v>221.53846153846155</v>
      </c>
      <c r="K78" s="167">
        <f>(J78+J79)/2</f>
        <v>630</v>
      </c>
      <c r="L78" s="243">
        <f>L77/L49</f>
        <v>0.71359223300970887</v>
      </c>
      <c r="M78" s="191"/>
      <c r="N78" s="149"/>
      <c r="O78" s="169"/>
      <c r="P78" s="168"/>
    </row>
    <row r="79" spans="1:16" ht="15.6" x14ac:dyDescent="0.3">
      <c r="A79" s="184"/>
      <c r="B79" s="166">
        <f>$T$6</f>
        <v>30</v>
      </c>
      <c r="C79" s="54">
        <f>$U$6</f>
        <v>60</v>
      </c>
      <c r="D79" s="54">
        <f t="shared" si="29"/>
        <v>540000</v>
      </c>
      <c r="E79" s="90">
        <v>4.5999999999999996</v>
      </c>
      <c r="F79" s="167">
        <f t="shared" si="30"/>
        <v>1173.913043478261</v>
      </c>
      <c r="G79" s="167"/>
      <c r="H79" s="205"/>
      <c r="I79" s="179">
        <v>5.2</v>
      </c>
      <c r="J79" s="167">
        <f t="shared" si="28"/>
        <v>1038.4615384615386</v>
      </c>
      <c r="K79" s="167"/>
      <c r="L79" s="168"/>
      <c r="M79" s="191"/>
      <c r="N79" s="149"/>
      <c r="O79" s="169"/>
      <c r="P79" s="168"/>
    </row>
    <row r="80" spans="1:16" ht="15.6" x14ac:dyDescent="0.3">
      <c r="A80" s="184" t="s">
        <v>109</v>
      </c>
      <c r="B80" s="166">
        <f>$T$12</f>
        <v>100</v>
      </c>
      <c r="C80" s="54">
        <f>$U$12</f>
        <v>24</v>
      </c>
      <c r="D80" s="54">
        <f t="shared" si="29"/>
        <v>115200</v>
      </c>
      <c r="E80" s="90">
        <v>4.5999999999999996</v>
      </c>
      <c r="F80" s="167">
        <f t="shared" si="30"/>
        <v>250.43478260869568</v>
      </c>
      <c r="G80" s="167">
        <f>(F80+F81)/2</f>
        <v>712.17391304347836</v>
      </c>
      <c r="H80" s="205"/>
      <c r="I80" s="179">
        <v>5.2</v>
      </c>
      <c r="J80" s="167">
        <f t="shared" si="28"/>
        <v>221.53846153846155</v>
      </c>
      <c r="K80" s="167">
        <f>(J80+J81)/2</f>
        <v>630</v>
      </c>
      <c r="L80" s="168"/>
      <c r="M80" s="191"/>
      <c r="N80" s="149"/>
      <c r="O80" s="169"/>
      <c r="P80" s="168"/>
    </row>
    <row r="81" spans="1:16" ht="16.2" thickBot="1" x14ac:dyDescent="0.35">
      <c r="A81" s="185"/>
      <c r="B81" s="170">
        <f>$T$7</f>
        <v>30</v>
      </c>
      <c r="C81" s="171">
        <f>$U$7</f>
        <v>60</v>
      </c>
      <c r="D81" s="171">
        <f t="shared" si="29"/>
        <v>540000</v>
      </c>
      <c r="E81" s="144">
        <v>4.5999999999999996</v>
      </c>
      <c r="F81" s="172">
        <f t="shared" si="30"/>
        <v>1173.913043478261</v>
      </c>
      <c r="G81" s="172"/>
      <c r="H81" s="235"/>
      <c r="I81" s="236">
        <v>5.2</v>
      </c>
      <c r="J81" s="172">
        <f t="shared" si="28"/>
        <v>1038.4615384615386</v>
      </c>
      <c r="K81" s="171"/>
      <c r="L81" s="173"/>
      <c r="M81" s="197"/>
      <c r="N81" s="150"/>
      <c r="O81" s="181"/>
      <c r="P81" s="178"/>
    </row>
    <row r="82" spans="1:16" ht="15.6" x14ac:dyDescent="0.3">
      <c r="A82" s="182" t="s">
        <v>107</v>
      </c>
      <c r="B82" s="160">
        <f>$W$6</f>
        <v>60</v>
      </c>
      <c r="C82" s="161">
        <f>$V$6</f>
        <v>30</v>
      </c>
      <c r="D82" s="161">
        <f t="shared" si="29"/>
        <v>135000</v>
      </c>
      <c r="E82" s="161">
        <f>'Carichi unitari'!$M$4</f>
        <v>3.2</v>
      </c>
      <c r="F82" s="162">
        <f t="shared" si="30"/>
        <v>421.875</v>
      </c>
      <c r="G82" s="162"/>
      <c r="H82" s="234">
        <f>12*'Carichi unitari'!$M$9*F82/E82^2/1000000/(1+0.5*(F82/G83+F82/G85))</f>
        <v>9.7797985294910479</v>
      </c>
      <c r="I82" s="160">
        <f>'Carichi unitari'!$M$4</f>
        <v>3.2</v>
      </c>
      <c r="J82" s="162">
        <f t="shared" si="28"/>
        <v>421.875</v>
      </c>
      <c r="K82" s="162"/>
      <c r="L82" s="163">
        <f>12*'Carichi unitari'!$M$9*J82/I82^2/1000000/(1+0.5*(J82/K83+J82/K85))</f>
        <v>9.327216326871655</v>
      </c>
      <c r="M82" s="190">
        <v>4</v>
      </c>
      <c r="N82" s="164"/>
      <c r="O82" s="165">
        <v>1</v>
      </c>
      <c r="P82" s="163"/>
    </row>
    <row r="83" spans="1:16" ht="15.6" x14ac:dyDescent="0.3">
      <c r="A83" s="183" t="s">
        <v>108</v>
      </c>
      <c r="B83" s="166">
        <f>$T$12</f>
        <v>100</v>
      </c>
      <c r="C83" s="54">
        <f>$U$12</f>
        <v>24</v>
      </c>
      <c r="D83" s="54">
        <f t="shared" si="29"/>
        <v>115200</v>
      </c>
      <c r="E83" s="90">
        <v>4.5999999999999996</v>
      </c>
      <c r="F83" s="167">
        <f t="shared" si="30"/>
        <v>250.43478260869568</v>
      </c>
      <c r="G83" s="167">
        <f>(F83+F84)/2</f>
        <v>712.17391304347836</v>
      </c>
      <c r="H83" s="205"/>
      <c r="I83" s="179">
        <v>5.2</v>
      </c>
      <c r="J83" s="167">
        <f t="shared" si="28"/>
        <v>221.53846153846155</v>
      </c>
      <c r="K83" s="167">
        <f>(J83+J84)/2</f>
        <v>630</v>
      </c>
      <c r="L83" s="243">
        <f>L82/L49</f>
        <v>0.39304812834224601</v>
      </c>
      <c r="M83" s="191"/>
      <c r="N83" s="149"/>
      <c r="O83" s="166"/>
      <c r="P83" s="168"/>
    </row>
    <row r="84" spans="1:16" x14ac:dyDescent="0.3">
      <c r="B84" s="166">
        <f>$T$6</f>
        <v>30</v>
      </c>
      <c r="C84" s="54">
        <f>$U$6</f>
        <v>60</v>
      </c>
      <c r="D84" s="54">
        <f t="shared" si="29"/>
        <v>540000</v>
      </c>
      <c r="E84" s="90">
        <v>4.5999999999999996</v>
      </c>
      <c r="F84" s="167">
        <f t="shared" si="30"/>
        <v>1173.913043478261</v>
      </c>
      <c r="G84" s="88"/>
      <c r="H84" s="239"/>
      <c r="I84" s="179">
        <v>5.2</v>
      </c>
      <c r="J84" s="167">
        <f t="shared" si="28"/>
        <v>1038.4615384615386</v>
      </c>
      <c r="K84" s="88"/>
      <c r="L84" s="108"/>
      <c r="M84" s="198"/>
      <c r="N84" s="108"/>
      <c r="O84" s="188"/>
      <c r="P84" s="108"/>
    </row>
    <row r="85" spans="1:16" ht="16.2" thickBot="1" x14ac:dyDescent="0.35">
      <c r="A85" s="186" t="s">
        <v>109</v>
      </c>
      <c r="B85" s="166">
        <f>$T$12</f>
        <v>100</v>
      </c>
      <c r="C85" s="54">
        <f>$U$12</f>
        <v>24</v>
      </c>
      <c r="D85" s="54">
        <f t="shared" si="29"/>
        <v>115200</v>
      </c>
      <c r="E85" s="90">
        <v>4.5999999999999996</v>
      </c>
      <c r="F85" s="167">
        <f t="shared" si="30"/>
        <v>250.43478260869568</v>
      </c>
      <c r="G85" s="167">
        <f>(F85+F86)/2</f>
        <v>712.17391304347836</v>
      </c>
      <c r="H85" s="205"/>
      <c r="I85" s="179">
        <v>5.2</v>
      </c>
      <c r="J85" s="167">
        <f t="shared" si="28"/>
        <v>221.53846153846155</v>
      </c>
      <c r="K85" s="167">
        <f>(J85+J86)/2</f>
        <v>630</v>
      </c>
      <c r="L85" s="168"/>
      <c r="M85" s="191"/>
      <c r="N85" s="149"/>
      <c r="O85" s="166"/>
      <c r="P85" s="168"/>
    </row>
    <row r="86" spans="1:16" ht="15" thickBot="1" x14ac:dyDescent="0.35">
      <c r="B86" s="175">
        <f>$T$7</f>
        <v>30</v>
      </c>
      <c r="C86" s="52">
        <f>$U$7</f>
        <v>60</v>
      </c>
      <c r="D86" s="52">
        <f t="shared" si="29"/>
        <v>540000</v>
      </c>
      <c r="E86" s="176">
        <v>4.5999999999999996</v>
      </c>
      <c r="F86" s="177">
        <f t="shared" si="30"/>
        <v>1173.913043478261</v>
      </c>
      <c r="G86" s="39"/>
      <c r="H86" s="240"/>
      <c r="I86" s="180">
        <v>5.2</v>
      </c>
      <c r="J86" s="177">
        <f t="shared" si="28"/>
        <v>1038.4615384615386</v>
      </c>
      <c r="K86" s="39"/>
      <c r="L86" s="187"/>
      <c r="M86" s="199"/>
      <c r="N86" s="187"/>
      <c r="O86" s="189"/>
      <c r="P86" s="187"/>
    </row>
    <row r="88" spans="1:16" ht="15" thickBot="1" x14ac:dyDescent="0.35"/>
    <row r="89" spans="1:16" ht="16.2" thickBot="1" x14ac:dyDescent="0.35">
      <c r="A89" s="1"/>
      <c r="B89" s="404" t="s">
        <v>134</v>
      </c>
      <c r="C89" s="405"/>
      <c r="D89" s="405"/>
      <c r="E89" s="405"/>
      <c r="F89" s="405"/>
      <c r="G89" s="405"/>
      <c r="H89" s="406"/>
      <c r="I89" s="207"/>
      <c r="J89" s="207"/>
      <c r="K89" s="207"/>
      <c r="L89" s="207"/>
      <c r="M89" s="398" t="s">
        <v>113</v>
      </c>
      <c r="N89" s="399"/>
      <c r="O89" s="398" t="s">
        <v>138</v>
      </c>
      <c r="P89" s="399"/>
    </row>
    <row r="90" spans="1:16" ht="19.2" thickBot="1" x14ac:dyDescent="0.35">
      <c r="B90" s="151" t="s">
        <v>110</v>
      </c>
      <c r="C90" s="152" t="s">
        <v>111</v>
      </c>
      <c r="D90" s="152" t="s">
        <v>129</v>
      </c>
      <c r="E90" s="152" t="s">
        <v>114</v>
      </c>
      <c r="F90" s="152" t="s">
        <v>140</v>
      </c>
      <c r="G90" s="152"/>
      <c r="H90" s="153" t="s">
        <v>128</v>
      </c>
      <c r="I90" s="152" t="s">
        <v>114</v>
      </c>
      <c r="J90" s="152" t="s">
        <v>140</v>
      </c>
      <c r="K90" s="152"/>
      <c r="L90" s="153" t="s">
        <v>128</v>
      </c>
      <c r="M90" s="151" t="s">
        <v>112</v>
      </c>
      <c r="N90" s="154" t="s">
        <v>146</v>
      </c>
      <c r="O90" s="151" t="s">
        <v>112</v>
      </c>
      <c r="P90" s="154" t="s">
        <v>146</v>
      </c>
    </row>
    <row r="91" spans="1:16" ht="16.2" thickBot="1" x14ac:dyDescent="0.35">
      <c r="B91" s="395" t="s">
        <v>139</v>
      </c>
      <c r="C91" s="396"/>
      <c r="D91" s="396"/>
      <c r="E91" s="396"/>
      <c r="F91" s="396"/>
      <c r="G91" s="396"/>
      <c r="H91" s="396"/>
      <c r="I91" s="396"/>
      <c r="J91" s="396"/>
      <c r="K91" s="396"/>
      <c r="L91" s="396"/>
      <c r="M91" s="393"/>
      <c r="N91" s="393"/>
      <c r="O91" s="393"/>
      <c r="P91" s="394"/>
    </row>
    <row r="92" spans="1:16" ht="15.6" x14ac:dyDescent="0.3">
      <c r="A92" s="182" t="s">
        <v>107</v>
      </c>
      <c r="B92" s="160">
        <f>$V$7</f>
        <v>30</v>
      </c>
      <c r="C92" s="161">
        <f>$W$7</f>
        <v>70</v>
      </c>
      <c r="D92" s="161">
        <f>B92*C92^3/12</f>
        <v>857500</v>
      </c>
      <c r="E92" s="161">
        <f>'Carichi unitari'!$M$4</f>
        <v>3.2</v>
      </c>
      <c r="F92" s="162">
        <f>D92/(100*E92)</f>
        <v>2679.6875</v>
      </c>
      <c r="G92" s="161"/>
      <c r="H92" s="234">
        <f>12*'Carichi unitari'!$M$9*F92/E92^2/1000000/(1+0.5*(F92/G93+F92/G94))</f>
        <v>34.585576692043098</v>
      </c>
      <c r="I92" s="160">
        <f>'Carichi unitari'!$M$4</f>
        <v>3.2</v>
      </c>
      <c r="J92" s="162">
        <f>D92/(100*I92)</f>
        <v>2679.6875</v>
      </c>
      <c r="K92" s="162"/>
      <c r="L92" s="163">
        <f>12*'Carichi unitari'!$M$9*J92/I92^2/1000000/(1+0.5*(J92/K93+J92/K94))</f>
        <v>31.881109093770394</v>
      </c>
      <c r="M92" s="190">
        <v>7</v>
      </c>
      <c r="N92" s="163">
        <f>H92*M92+H95*M95+H99*M99+H102*M102+H106*M106+H109*M109+H113*M113+H116*M116+H120*M120+H125*M125</f>
        <v>470.96294247128355</v>
      </c>
      <c r="O92" s="165">
        <v>9</v>
      </c>
      <c r="P92" s="163">
        <f>L92*O92+L95*O95+L102*O102+L106*O106+L109*O109+L113*O113+L116*O116+L120*O120+L99*O99+L125*O125</f>
        <v>455.72749950272754</v>
      </c>
    </row>
    <row r="93" spans="1:16" ht="15.6" x14ac:dyDescent="0.3">
      <c r="A93" s="183" t="s">
        <v>108</v>
      </c>
      <c r="B93" s="166">
        <f>$T$7</f>
        <v>30</v>
      </c>
      <c r="C93" s="54">
        <f>$U$7</f>
        <v>60</v>
      </c>
      <c r="D93" s="54">
        <f t="shared" ref="D93:D97" si="31">B93*C93^3/12</f>
        <v>540000</v>
      </c>
      <c r="E93" s="90">
        <v>4.5999999999999996</v>
      </c>
      <c r="F93" s="167">
        <f t="shared" ref="F93:F97" si="32">D93/(100*E93)</f>
        <v>1173.913043478261</v>
      </c>
      <c r="G93" s="167">
        <f>(F93+F93)/2</f>
        <v>1173.913043478261</v>
      </c>
      <c r="H93" s="205"/>
      <c r="I93" s="179">
        <v>5.2</v>
      </c>
      <c r="J93" s="167">
        <f t="shared" ref="J93:J97" si="33">D93/(100*I93)</f>
        <v>1038.4615384615386</v>
      </c>
      <c r="K93" s="167">
        <f>(J93+J93)/2</f>
        <v>1038.4615384615386</v>
      </c>
      <c r="L93" s="242">
        <f>L92/L92</f>
        <v>1</v>
      </c>
      <c r="M93" s="191"/>
      <c r="N93" s="243">
        <f>N92/H92</f>
        <v>13.617322234202769</v>
      </c>
      <c r="O93" s="246"/>
      <c r="P93" s="243">
        <f>P92/L92</f>
        <v>14.294593646736626</v>
      </c>
    </row>
    <row r="94" spans="1:16" ht="16.2" thickBot="1" x14ac:dyDescent="0.35">
      <c r="A94" s="184" t="s">
        <v>109</v>
      </c>
      <c r="B94" s="175">
        <f>$T$8</f>
        <v>30</v>
      </c>
      <c r="C94" s="52">
        <f>$U$8</f>
        <v>70</v>
      </c>
      <c r="D94" s="52">
        <f t="shared" si="31"/>
        <v>857500</v>
      </c>
      <c r="E94" s="176">
        <v>4.5999999999999996</v>
      </c>
      <c r="F94" s="177">
        <f t="shared" si="32"/>
        <v>1864.130434782609</v>
      </c>
      <c r="G94" s="177">
        <f>(F94+F94)/2</f>
        <v>1864.130434782609</v>
      </c>
      <c r="H94" s="206"/>
      <c r="I94" s="236">
        <v>5.2</v>
      </c>
      <c r="J94" s="172">
        <f t="shared" si="33"/>
        <v>1649.0384615384614</v>
      </c>
      <c r="K94" s="172">
        <f>(J94+J94)/2</f>
        <v>1649.0384615384614</v>
      </c>
      <c r="L94" s="173"/>
      <c r="M94" s="192"/>
      <c r="N94" s="159"/>
      <c r="O94" s="174"/>
      <c r="P94" s="173"/>
    </row>
    <row r="95" spans="1:16" ht="15.6" x14ac:dyDescent="0.3">
      <c r="A95" s="182" t="s">
        <v>107</v>
      </c>
      <c r="B95" s="160">
        <f>$W$7</f>
        <v>70</v>
      </c>
      <c r="C95" s="161">
        <f>$V$7</f>
        <v>30</v>
      </c>
      <c r="D95" s="161">
        <f t="shared" si="31"/>
        <v>157500</v>
      </c>
      <c r="E95" s="161">
        <f>'Carichi unitari'!$M$4</f>
        <v>3.2</v>
      </c>
      <c r="F95" s="162">
        <f t="shared" si="32"/>
        <v>492.1875</v>
      </c>
      <c r="G95" s="162"/>
      <c r="H95" s="234">
        <f>12*'Carichi unitari'!$M$9*F95/E95^2/1000000/(1+0.5*(F95/G96+F95/G97))</f>
        <v>13.54200450840777</v>
      </c>
      <c r="I95" s="160">
        <f>'Carichi unitari'!$M$4</f>
        <v>3.2</v>
      </c>
      <c r="J95" s="162">
        <f t="shared" si="33"/>
        <v>492.1875</v>
      </c>
      <c r="K95" s="162"/>
      <c r="L95" s="163">
        <f>12*'Carichi unitari'!$M$9*J95/I95^2/1000000/(1+0.5*(J95/K96+J95/K97))</f>
        <v>13.106664601943791</v>
      </c>
      <c r="M95" s="190">
        <v>1</v>
      </c>
      <c r="N95" s="164"/>
      <c r="O95" s="165">
        <v>1</v>
      </c>
      <c r="P95" s="163"/>
    </row>
    <row r="96" spans="1:16" ht="15.6" x14ac:dyDescent="0.3">
      <c r="A96" s="183" t="s">
        <v>108</v>
      </c>
      <c r="B96" s="166">
        <f>$T$7</f>
        <v>30</v>
      </c>
      <c r="C96" s="54">
        <f>$U$7</f>
        <v>60</v>
      </c>
      <c r="D96" s="54">
        <f t="shared" si="31"/>
        <v>540000</v>
      </c>
      <c r="E96" s="90">
        <v>4.5999999999999996</v>
      </c>
      <c r="F96" s="167">
        <f t="shared" si="32"/>
        <v>1173.913043478261</v>
      </c>
      <c r="G96" s="167">
        <f>(F96+F96)/2</f>
        <v>1173.913043478261</v>
      </c>
      <c r="H96" s="205"/>
      <c r="I96" s="179">
        <v>5.2</v>
      </c>
      <c r="J96" s="167">
        <f t="shared" si="33"/>
        <v>1038.4615384615386</v>
      </c>
      <c r="K96" s="167">
        <f>(J96+J96)/2</f>
        <v>1038.4615384615386</v>
      </c>
      <c r="L96" s="168"/>
      <c r="M96" s="191"/>
      <c r="N96" s="149"/>
      <c r="O96" s="166"/>
      <c r="P96" s="168"/>
    </row>
    <row r="97" spans="1:16" ht="16.2" thickBot="1" x14ac:dyDescent="0.35">
      <c r="A97" s="186" t="s">
        <v>109</v>
      </c>
      <c r="B97" s="175">
        <f>$T$8</f>
        <v>30</v>
      </c>
      <c r="C97" s="52">
        <f>$U$8</f>
        <v>70</v>
      </c>
      <c r="D97" s="52">
        <f t="shared" si="31"/>
        <v>857500</v>
      </c>
      <c r="E97" s="176">
        <v>4.5999999999999996</v>
      </c>
      <c r="F97" s="177">
        <f t="shared" si="32"/>
        <v>1864.130434782609</v>
      </c>
      <c r="G97" s="177">
        <f>(F97+F97)/2</f>
        <v>1864.130434782609</v>
      </c>
      <c r="H97" s="206"/>
      <c r="I97" s="180">
        <v>5.2</v>
      </c>
      <c r="J97" s="177">
        <f t="shared" si="33"/>
        <v>1649.0384615384614</v>
      </c>
      <c r="K97" s="177">
        <f>(J97+J97)/2</f>
        <v>1649.0384615384614</v>
      </c>
      <c r="L97" s="178"/>
      <c r="M97" s="197"/>
      <c r="N97" s="150"/>
      <c r="O97" s="175"/>
      <c r="P97" s="178"/>
    </row>
    <row r="98" spans="1:16" ht="16.2" thickBot="1" x14ac:dyDescent="0.35">
      <c r="B98" s="408" t="s">
        <v>144</v>
      </c>
      <c r="C98" s="402"/>
      <c r="D98" s="402"/>
      <c r="E98" s="402"/>
      <c r="F98" s="402"/>
      <c r="G98" s="402"/>
      <c r="H98" s="402"/>
      <c r="I98" s="402"/>
      <c r="J98" s="402"/>
      <c r="K98" s="402"/>
      <c r="L98" s="402"/>
      <c r="M98" s="401"/>
      <c r="N98" s="401"/>
      <c r="O98" s="401"/>
      <c r="P98" s="403"/>
    </row>
    <row r="99" spans="1:16" ht="15.6" x14ac:dyDescent="0.3">
      <c r="A99" s="182" t="s">
        <v>107</v>
      </c>
      <c r="B99" s="160">
        <f>$V$7</f>
        <v>30</v>
      </c>
      <c r="C99" s="161">
        <f>$W$7</f>
        <v>70</v>
      </c>
      <c r="D99" s="161">
        <f>B99*C99^3/12</f>
        <v>857500</v>
      </c>
      <c r="E99" s="161">
        <f>'Carichi unitari'!$M$4</f>
        <v>3.2</v>
      </c>
      <c r="F99" s="162">
        <f>D99/(100*E99)</f>
        <v>2679.6875</v>
      </c>
      <c r="G99" s="161"/>
      <c r="H99" s="234">
        <f>12*'Carichi unitari'!$M$9*F99/E99^2/1000000/(1+0.5*(F99/G100+F99/G101))</f>
        <v>8.4544409641235845</v>
      </c>
      <c r="I99" s="160">
        <f>'Carichi unitari'!$M$4</f>
        <v>3.2</v>
      </c>
      <c r="J99" s="162">
        <f>D99/(100*I99)</f>
        <v>2679.6875</v>
      </c>
      <c r="K99" s="161"/>
      <c r="L99" s="163">
        <f>12*'Carichi unitari'!$M$9*J99/I99^2/1000000/(1+0.5*(J99/K100+J99/K101))</f>
        <v>7.5534189583316058</v>
      </c>
      <c r="M99" s="190">
        <v>1</v>
      </c>
      <c r="N99" s="163"/>
      <c r="O99" s="165">
        <v>0</v>
      </c>
      <c r="P99" s="163"/>
    </row>
    <row r="100" spans="1:16" ht="15.6" x14ac:dyDescent="0.3">
      <c r="A100" s="183" t="s">
        <v>108</v>
      </c>
      <c r="B100" s="166">
        <f>$T$12</f>
        <v>100</v>
      </c>
      <c r="C100" s="54">
        <f>$U$12</f>
        <v>24</v>
      </c>
      <c r="D100" s="54">
        <f t="shared" ref="D100:D101" si="34">B100*C100^3/12</f>
        <v>115200</v>
      </c>
      <c r="E100" s="90">
        <v>4.5999999999999996</v>
      </c>
      <c r="F100" s="167">
        <f t="shared" ref="F100:F101" si="35">D100/(100*E100)</f>
        <v>250.43478260869568</v>
      </c>
      <c r="G100" s="167">
        <f>(F100+F100)/2</f>
        <v>250.43478260869568</v>
      </c>
      <c r="H100" s="205"/>
      <c r="I100" s="179">
        <v>5.2</v>
      </c>
      <c r="J100" s="167">
        <f t="shared" ref="J100:J104" si="36">D100/(100*I100)</f>
        <v>221.53846153846155</v>
      </c>
      <c r="K100" s="167">
        <f>(J100+J100)/2</f>
        <v>221.53846153846155</v>
      </c>
      <c r="L100" s="243">
        <f>L99/L92</f>
        <v>0.23692459807828808</v>
      </c>
      <c r="M100" s="191"/>
      <c r="N100" s="149"/>
      <c r="O100" s="169"/>
      <c r="P100" s="168"/>
    </row>
    <row r="101" spans="1:16" ht="16.2" thickBot="1" x14ac:dyDescent="0.35">
      <c r="A101" s="184" t="s">
        <v>109</v>
      </c>
      <c r="B101" s="175">
        <f>$T$12</f>
        <v>100</v>
      </c>
      <c r="C101" s="52">
        <f>$U$12</f>
        <v>24</v>
      </c>
      <c r="D101" s="52">
        <f t="shared" si="34"/>
        <v>115200</v>
      </c>
      <c r="E101" s="176">
        <v>4.5999999999999996</v>
      </c>
      <c r="F101" s="177">
        <f t="shared" si="35"/>
        <v>250.43478260869568</v>
      </c>
      <c r="G101" s="177">
        <f>(F101+F101)/2</f>
        <v>250.43478260869568</v>
      </c>
      <c r="H101" s="206"/>
      <c r="I101" s="236">
        <v>5.2</v>
      </c>
      <c r="J101" s="172">
        <f t="shared" si="36"/>
        <v>221.53846153846155</v>
      </c>
      <c r="K101" s="172">
        <f>(J101+J101)/2</f>
        <v>221.53846153846155</v>
      </c>
      <c r="L101" s="173"/>
      <c r="M101" s="197"/>
      <c r="N101" s="150"/>
      <c r="O101" s="181"/>
      <c r="P101" s="178"/>
    </row>
    <row r="102" spans="1:16" ht="15.6" x14ac:dyDescent="0.3">
      <c r="A102" s="182" t="s">
        <v>107</v>
      </c>
      <c r="B102" s="160">
        <f>$W$7</f>
        <v>70</v>
      </c>
      <c r="C102" s="161">
        <f>$V$7</f>
        <v>30</v>
      </c>
      <c r="D102" s="161">
        <f>B102*C102^3/12</f>
        <v>157500</v>
      </c>
      <c r="E102" s="161">
        <f>'Carichi unitari'!$M$4</f>
        <v>3.2</v>
      </c>
      <c r="F102" s="161">
        <f>D102/(100*E102)</f>
        <v>492.1875</v>
      </c>
      <c r="G102" s="161"/>
      <c r="H102" s="234">
        <f>12*'Carichi unitari'!$M$9*F102/E102^2/1000000/(1+0.5*(F102/G103+F102/G104))</f>
        <v>6.1270171249794156</v>
      </c>
      <c r="I102" s="160">
        <f>'Carichi unitari'!$M$4</f>
        <v>3.2</v>
      </c>
      <c r="J102" s="162">
        <f t="shared" si="36"/>
        <v>492.1875</v>
      </c>
      <c r="K102" s="161"/>
      <c r="L102" s="163">
        <f>12*'Carichi unitari'!$M$9*J102/I102^2/1000000/(1+0.5*(J102/K103+J102/K104))</f>
        <v>5.6394930281903592</v>
      </c>
      <c r="M102" s="190">
        <v>1</v>
      </c>
      <c r="N102" s="164"/>
      <c r="O102" s="160">
        <v>0</v>
      </c>
      <c r="P102" s="163"/>
    </row>
    <row r="103" spans="1:16" ht="15.6" x14ac:dyDescent="0.3">
      <c r="A103" s="183" t="s">
        <v>108</v>
      </c>
      <c r="B103" s="166">
        <f>$T$12</f>
        <v>100</v>
      </c>
      <c r="C103" s="54">
        <f>$U$12</f>
        <v>24</v>
      </c>
      <c r="D103" s="54">
        <f>B103*C103^3/12</f>
        <v>115200</v>
      </c>
      <c r="E103" s="90">
        <v>4.5999999999999996</v>
      </c>
      <c r="F103" s="54">
        <f>D103/(100*E103)</f>
        <v>250.43478260869568</v>
      </c>
      <c r="G103" s="167">
        <f t="shared" ref="G103:G104" si="37">(F103+F103)/2</f>
        <v>250.43478260869568</v>
      </c>
      <c r="H103" s="205"/>
      <c r="I103" s="179">
        <v>5.2</v>
      </c>
      <c r="J103" s="167">
        <f t="shared" si="36"/>
        <v>221.53846153846155</v>
      </c>
      <c r="K103" s="167">
        <f t="shared" ref="K103:K104" si="38">(J103+J103)/2</f>
        <v>221.53846153846155</v>
      </c>
      <c r="L103" s="243">
        <f>L102/$L$92</f>
        <v>0.17689136885430132</v>
      </c>
      <c r="M103" s="237"/>
      <c r="N103" s="149"/>
      <c r="O103" s="166"/>
      <c r="P103" s="168"/>
    </row>
    <row r="104" spans="1:16" ht="16.2" thickBot="1" x14ac:dyDescent="0.35">
      <c r="A104" s="186" t="s">
        <v>109</v>
      </c>
      <c r="B104" s="175">
        <f>$T$12</f>
        <v>100</v>
      </c>
      <c r="C104" s="52">
        <f>$U$12</f>
        <v>24</v>
      </c>
      <c r="D104" s="52">
        <f>B104*C104^3/12</f>
        <v>115200</v>
      </c>
      <c r="E104" s="176">
        <v>4.5999999999999996</v>
      </c>
      <c r="F104" s="52">
        <f>D104/(100*E104)</f>
        <v>250.43478260869568</v>
      </c>
      <c r="G104" s="177">
        <f t="shared" si="37"/>
        <v>250.43478260869568</v>
      </c>
      <c r="H104" s="206"/>
      <c r="I104" s="180">
        <v>5.2</v>
      </c>
      <c r="J104" s="177">
        <f t="shared" si="36"/>
        <v>221.53846153846155</v>
      </c>
      <c r="K104" s="177">
        <f t="shared" si="38"/>
        <v>221.53846153846155</v>
      </c>
      <c r="L104" s="178"/>
      <c r="M104" s="238"/>
      <c r="N104" s="150"/>
      <c r="O104" s="175"/>
      <c r="P104" s="178"/>
    </row>
    <row r="105" spans="1:16" ht="16.2" thickBot="1" x14ac:dyDescent="0.35">
      <c r="B105" s="407" t="s">
        <v>147</v>
      </c>
      <c r="C105" s="390"/>
      <c r="D105" s="390"/>
      <c r="E105" s="390"/>
      <c r="F105" s="390"/>
      <c r="G105" s="390"/>
      <c r="H105" s="390"/>
      <c r="I105" s="390"/>
      <c r="J105" s="390"/>
      <c r="K105" s="390"/>
      <c r="L105" s="390"/>
      <c r="M105" s="389"/>
      <c r="N105" s="389"/>
      <c r="O105" s="389"/>
      <c r="P105" s="391"/>
    </row>
    <row r="106" spans="1:16" ht="15.6" x14ac:dyDescent="0.3">
      <c r="A106" s="182" t="s">
        <v>107</v>
      </c>
      <c r="B106" s="160">
        <f>$V$7</f>
        <v>30</v>
      </c>
      <c r="C106" s="161">
        <f>$W$7</f>
        <v>70</v>
      </c>
      <c r="D106" s="161">
        <f>B106*C106^3/12</f>
        <v>857500</v>
      </c>
      <c r="E106" s="161">
        <f>'Carichi unitari'!$M$4</f>
        <v>3.2</v>
      </c>
      <c r="F106" s="162">
        <f>D106/(100*E106)</f>
        <v>2679.6875</v>
      </c>
      <c r="G106" s="161"/>
      <c r="H106" s="234">
        <f>12*'Carichi unitari'!$M$9*F106/E106^2/1000000/(1+0.5*(F106/G107+F106/G108))</f>
        <v>20.956361969748052</v>
      </c>
      <c r="I106" s="160">
        <f>'Carichi unitari'!$M$4</f>
        <v>3.2</v>
      </c>
      <c r="J106" s="162">
        <f>D106/(100*I106)</f>
        <v>2679.6875</v>
      </c>
      <c r="K106" s="161"/>
      <c r="L106" s="163">
        <f>12*'Carichi unitari'!$M$9*J106/I106^2/1000000/(1+0.5*(J106/K107+J106/K108))</f>
        <v>19.002842290856027</v>
      </c>
      <c r="M106" s="190">
        <v>6</v>
      </c>
      <c r="N106" s="164"/>
      <c r="O106" s="165">
        <v>0</v>
      </c>
      <c r="P106" s="163"/>
    </row>
    <row r="107" spans="1:16" ht="15.6" x14ac:dyDescent="0.3">
      <c r="A107" s="183" t="s">
        <v>108</v>
      </c>
      <c r="B107" s="166">
        <f>$T$7</f>
        <v>30</v>
      </c>
      <c r="C107" s="54">
        <f>$U$7</f>
        <v>60</v>
      </c>
      <c r="D107" s="54">
        <f t="shared" ref="D107:D111" si="39">B107*C107^3/12</f>
        <v>540000</v>
      </c>
      <c r="E107" s="90">
        <v>4.5999999999999996</v>
      </c>
      <c r="F107" s="167">
        <f t="shared" ref="F107:F111" si="40">D107/(100*E107)</f>
        <v>1173.913043478261</v>
      </c>
      <c r="G107" s="167">
        <f>(F107)/2</f>
        <v>586.95652173913049</v>
      </c>
      <c r="H107" s="205"/>
      <c r="I107" s="179">
        <v>5.2</v>
      </c>
      <c r="J107" s="167">
        <f t="shared" ref="J107:J111" si="41">D107/(100*I107)</f>
        <v>1038.4615384615386</v>
      </c>
      <c r="K107" s="167">
        <f>(J107)/2</f>
        <v>519.23076923076928</v>
      </c>
      <c r="L107" s="243">
        <f>L106/$L$92</f>
        <v>0.59605336297943301</v>
      </c>
      <c r="M107" s="191"/>
      <c r="N107" s="149"/>
      <c r="O107" s="169"/>
      <c r="P107" s="168"/>
    </row>
    <row r="108" spans="1:16" ht="16.2" thickBot="1" x14ac:dyDescent="0.35">
      <c r="A108" s="184" t="s">
        <v>109</v>
      </c>
      <c r="B108" s="175">
        <f>$T$8</f>
        <v>30</v>
      </c>
      <c r="C108" s="52">
        <f>$U$8</f>
        <v>70</v>
      </c>
      <c r="D108" s="171">
        <f t="shared" si="39"/>
        <v>857500</v>
      </c>
      <c r="E108" s="144">
        <v>4.5999999999999996</v>
      </c>
      <c r="F108" s="172">
        <f t="shared" si="40"/>
        <v>1864.130434782609</v>
      </c>
      <c r="G108" s="172">
        <f>(F108)/2</f>
        <v>932.06521739130449</v>
      </c>
      <c r="H108" s="235"/>
      <c r="I108" s="236">
        <v>5.2</v>
      </c>
      <c r="J108" s="172">
        <f t="shared" si="41"/>
        <v>1649.0384615384614</v>
      </c>
      <c r="K108" s="172">
        <f>(J108)/2</f>
        <v>824.51923076923072</v>
      </c>
      <c r="L108" s="173"/>
      <c r="M108" s="197"/>
      <c r="N108" s="150"/>
      <c r="O108" s="181"/>
      <c r="P108" s="178"/>
    </row>
    <row r="109" spans="1:16" ht="15.6" x14ac:dyDescent="0.3">
      <c r="A109" s="182" t="s">
        <v>107</v>
      </c>
      <c r="B109" s="160">
        <f>$W$7</f>
        <v>70</v>
      </c>
      <c r="C109" s="161">
        <f>$V$7</f>
        <v>30</v>
      </c>
      <c r="D109" s="161">
        <f t="shared" si="39"/>
        <v>157500</v>
      </c>
      <c r="E109" s="161">
        <f>'Carichi unitari'!$M$4</f>
        <v>3.2</v>
      </c>
      <c r="F109" s="162">
        <f t="shared" si="40"/>
        <v>492.1875</v>
      </c>
      <c r="G109" s="162"/>
      <c r="H109" s="234">
        <f>12*'Carichi unitari'!$M$9*F109/E109^2/1000000/(1+0.5*(F109/G110+F109/G111))</f>
        <v>10.793456029188896</v>
      </c>
      <c r="I109" s="160">
        <f>'Carichi unitari'!$M$4</f>
        <v>3.2</v>
      </c>
      <c r="J109" s="162">
        <f t="shared" si="41"/>
        <v>492.1875</v>
      </c>
      <c r="K109" s="162"/>
      <c r="L109" s="163">
        <f>12*'Carichi unitari'!$M$9*J109/I109^2/1000000/(1+0.5*(J109/K110+J109/K111))</f>
        <v>10.250708630059968</v>
      </c>
      <c r="M109" s="190">
        <v>2</v>
      </c>
      <c r="N109" s="164"/>
      <c r="O109" s="165">
        <v>12</v>
      </c>
      <c r="P109" s="163"/>
    </row>
    <row r="110" spans="1:16" ht="15.6" x14ac:dyDescent="0.3">
      <c r="A110" s="183" t="s">
        <v>108</v>
      </c>
      <c r="B110" s="166">
        <f>$T$7</f>
        <v>30</v>
      </c>
      <c r="C110" s="54">
        <f>$U$7</f>
        <v>60</v>
      </c>
      <c r="D110" s="54">
        <f t="shared" si="39"/>
        <v>540000</v>
      </c>
      <c r="E110" s="90">
        <v>4.5999999999999996</v>
      </c>
      <c r="F110" s="167">
        <f t="shared" si="40"/>
        <v>1173.913043478261</v>
      </c>
      <c r="G110" s="167">
        <f>(F110)/2</f>
        <v>586.95652173913049</v>
      </c>
      <c r="H110" s="205"/>
      <c r="I110" s="179">
        <v>5.2</v>
      </c>
      <c r="J110" s="167">
        <f t="shared" si="41"/>
        <v>1038.4615384615386</v>
      </c>
      <c r="K110" s="167">
        <f>(J110)/2</f>
        <v>519.23076923076928</v>
      </c>
      <c r="L110" s="168"/>
      <c r="M110" s="191"/>
      <c r="N110" s="149"/>
      <c r="O110" s="166"/>
      <c r="P110" s="168"/>
    </row>
    <row r="111" spans="1:16" ht="16.2" thickBot="1" x14ac:dyDescent="0.35">
      <c r="A111" s="186" t="s">
        <v>109</v>
      </c>
      <c r="B111" s="175">
        <f>$T$8</f>
        <v>30</v>
      </c>
      <c r="C111" s="52">
        <f>$U$8</f>
        <v>70</v>
      </c>
      <c r="D111" s="52">
        <f t="shared" si="39"/>
        <v>857500</v>
      </c>
      <c r="E111" s="176">
        <v>4.5999999999999996</v>
      </c>
      <c r="F111" s="177">
        <f t="shared" si="40"/>
        <v>1864.130434782609</v>
      </c>
      <c r="G111" s="177">
        <f>(F111)/2</f>
        <v>932.06521739130449</v>
      </c>
      <c r="H111" s="206"/>
      <c r="I111" s="180">
        <v>5.2</v>
      </c>
      <c r="J111" s="177">
        <f t="shared" si="41"/>
        <v>1649.0384615384614</v>
      </c>
      <c r="K111" s="177">
        <f>(J111)/2</f>
        <v>824.51923076923072</v>
      </c>
      <c r="L111" s="178"/>
      <c r="M111" s="197"/>
      <c r="N111" s="150"/>
      <c r="O111" s="175"/>
      <c r="P111" s="178"/>
    </row>
    <row r="112" spans="1:16" ht="16.2" thickBot="1" x14ac:dyDescent="0.35">
      <c r="B112" s="407" t="s">
        <v>148</v>
      </c>
      <c r="C112" s="390"/>
      <c r="D112" s="390"/>
      <c r="E112" s="390"/>
      <c r="F112" s="390"/>
      <c r="G112" s="390"/>
      <c r="H112" s="390"/>
      <c r="I112" s="390"/>
      <c r="J112" s="390"/>
      <c r="K112" s="390"/>
      <c r="L112" s="390"/>
      <c r="M112" s="393"/>
      <c r="N112" s="393"/>
      <c r="O112" s="393"/>
      <c r="P112" s="394"/>
    </row>
    <row r="113" spans="1:16" ht="15.6" x14ac:dyDescent="0.3">
      <c r="A113" s="182" t="s">
        <v>107</v>
      </c>
      <c r="B113" s="160">
        <f>$V$7</f>
        <v>30</v>
      </c>
      <c r="C113" s="161">
        <f>$W$7</f>
        <v>70</v>
      </c>
      <c r="D113" s="161">
        <f>B113*C113^3/12</f>
        <v>857500</v>
      </c>
      <c r="E113" s="161">
        <f>'Carichi unitari'!$M$4</f>
        <v>3.2</v>
      </c>
      <c r="F113" s="162">
        <f>D113/(100*E113)</f>
        <v>2679.6875</v>
      </c>
      <c r="G113" s="161"/>
      <c r="H113" s="234">
        <f>12*'Carichi unitari'!$M$9*F113/E113^2/1000000/(1+0.5*(F113/G114+F113/G115))</f>
        <v>4.415933305399605</v>
      </c>
      <c r="I113" s="160">
        <f>'Carichi unitari'!$M$4</f>
        <v>3.2</v>
      </c>
      <c r="J113" s="162">
        <f>D113/(100*I113)</f>
        <v>2679.6875</v>
      </c>
      <c r="K113" s="161"/>
      <c r="L113" s="163">
        <f>12*'Carichi unitari'!$M$9*J113/I113^2/1000000/(1+0.5*(J113/K114+J113/K115))</f>
        <v>3.9266287376273867</v>
      </c>
      <c r="M113" s="190">
        <v>0</v>
      </c>
      <c r="N113" s="164"/>
      <c r="O113" s="165">
        <v>0</v>
      </c>
      <c r="P113" s="163"/>
    </row>
    <row r="114" spans="1:16" ht="15.6" x14ac:dyDescent="0.3">
      <c r="A114" s="183" t="s">
        <v>108</v>
      </c>
      <c r="B114" s="166">
        <f>$T$12</f>
        <v>100</v>
      </c>
      <c r="C114" s="54">
        <f>$U$12</f>
        <v>24</v>
      </c>
      <c r="D114" s="54">
        <f t="shared" ref="D114:D118" si="42">B114*C114^3/12</f>
        <v>115200</v>
      </c>
      <c r="E114" s="90">
        <v>4.5999999999999996</v>
      </c>
      <c r="F114" s="167">
        <f t="shared" ref="F114:F118" si="43">D114/(100*E114)</f>
        <v>250.43478260869568</v>
      </c>
      <c r="G114" s="167">
        <f>(F114)/2</f>
        <v>125.21739130434784</v>
      </c>
      <c r="H114" s="205"/>
      <c r="I114" s="179">
        <v>5.2</v>
      </c>
      <c r="J114" s="167">
        <f t="shared" ref="J114:J118" si="44">D114/(100*I114)</f>
        <v>221.53846153846155</v>
      </c>
      <c r="K114" s="167">
        <f>(J114)/2</f>
        <v>110.76923076923077</v>
      </c>
      <c r="L114" s="243">
        <f>L113/$L$92</f>
        <v>0.12316474706316458</v>
      </c>
      <c r="M114" s="191"/>
      <c r="N114" s="149"/>
      <c r="O114" s="169"/>
      <c r="P114" s="168"/>
    </row>
    <row r="115" spans="1:16" ht="16.2" thickBot="1" x14ac:dyDescent="0.35">
      <c r="A115" s="184" t="s">
        <v>109</v>
      </c>
      <c r="B115" s="175">
        <f>$T$12</f>
        <v>100</v>
      </c>
      <c r="C115" s="52">
        <f>$U$12</f>
        <v>24</v>
      </c>
      <c r="D115" s="52">
        <f t="shared" si="42"/>
        <v>115200</v>
      </c>
      <c r="E115" s="176">
        <v>4.5999999999999996</v>
      </c>
      <c r="F115" s="177">
        <f t="shared" si="43"/>
        <v>250.43478260869568</v>
      </c>
      <c r="G115" s="177">
        <f>(F115)/2</f>
        <v>125.21739130434784</v>
      </c>
      <c r="H115" s="206"/>
      <c r="I115" s="236">
        <v>5.2</v>
      </c>
      <c r="J115" s="172">
        <f t="shared" si="44"/>
        <v>221.53846153846155</v>
      </c>
      <c r="K115" s="172">
        <f>(J115)/2</f>
        <v>110.76923076923077</v>
      </c>
      <c r="L115" s="173"/>
      <c r="M115" s="197"/>
      <c r="N115" s="150"/>
      <c r="O115" s="181"/>
      <c r="P115" s="178"/>
    </row>
    <row r="116" spans="1:16" ht="15.6" x14ac:dyDescent="0.3">
      <c r="A116" s="155" t="s">
        <v>107</v>
      </c>
      <c r="B116" s="160">
        <f>$W$7</f>
        <v>70</v>
      </c>
      <c r="C116" s="161">
        <f>$V$7</f>
        <v>30</v>
      </c>
      <c r="D116" s="194">
        <f t="shared" si="42"/>
        <v>157500</v>
      </c>
      <c r="E116" s="194">
        <f>'Carichi unitari'!$M$4</f>
        <v>3.2</v>
      </c>
      <c r="F116" s="195">
        <f t="shared" si="43"/>
        <v>492.1875</v>
      </c>
      <c r="G116" s="195"/>
      <c r="H116" s="241">
        <f>12*'Carichi unitari'!$M$9*F116/E116^2/1000000/(1+0.5*(F116/G117+F116/G118))</f>
        <v>3.6848262032085555</v>
      </c>
      <c r="I116" s="160">
        <f>'Carichi unitari'!$M$4</f>
        <v>3.2</v>
      </c>
      <c r="J116" s="162">
        <f t="shared" si="44"/>
        <v>492.1875</v>
      </c>
      <c r="K116" s="162"/>
      <c r="L116" s="163">
        <f>12*'Carichi unitari'!$M$9*J116/I116^2/1000000/(1+0.5*(J116/K117+J116/K118))</f>
        <v>3.3377623789020445</v>
      </c>
      <c r="M116" s="190">
        <v>2</v>
      </c>
      <c r="N116" s="164"/>
      <c r="O116" s="165">
        <v>0</v>
      </c>
      <c r="P116" s="163"/>
    </row>
    <row r="117" spans="1:16" ht="15.6" x14ac:dyDescent="0.3">
      <c r="A117" s="156" t="s">
        <v>108</v>
      </c>
      <c r="B117" s="166">
        <f>$T$12</f>
        <v>100</v>
      </c>
      <c r="C117" s="54">
        <f>$U$12</f>
        <v>24</v>
      </c>
      <c r="D117" s="54">
        <f t="shared" si="42"/>
        <v>115200</v>
      </c>
      <c r="E117" s="90">
        <v>4.5999999999999996</v>
      </c>
      <c r="F117" s="167">
        <f t="shared" si="43"/>
        <v>250.43478260869568</v>
      </c>
      <c r="G117" s="167">
        <f>(F117)/2</f>
        <v>125.21739130434784</v>
      </c>
      <c r="H117" s="205"/>
      <c r="I117" s="179">
        <v>5.2</v>
      </c>
      <c r="J117" s="167">
        <f t="shared" si="44"/>
        <v>221.53846153846155</v>
      </c>
      <c r="K117" s="167">
        <f>(J117)/2</f>
        <v>110.76923076923077</v>
      </c>
      <c r="L117" s="243">
        <f>L116/$L$92</f>
        <v>0.10469404841233228</v>
      </c>
      <c r="M117" s="191"/>
      <c r="N117" s="149"/>
      <c r="O117" s="166"/>
      <c r="P117" s="168"/>
    </row>
    <row r="118" spans="1:16" ht="16.2" thickBot="1" x14ac:dyDescent="0.35">
      <c r="A118" s="157" t="s">
        <v>109</v>
      </c>
      <c r="B118" s="166">
        <f>$T$12</f>
        <v>100</v>
      </c>
      <c r="C118" s="54">
        <f>$U$12</f>
        <v>24</v>
      </c>
      <c r="D118" s="52">
        <f t="shared" si="42"/>
        <v>115200</v>
      </c>
      <c r="E118" s="176">
        <v>4.5999999999999996</v>
      </c>
      <c r="F118" s="177">
        <f t="shared" si="43"/>
        <v>250.43478260869568</v>
      </c>
      <c r="G118" s="177">
        <f>(F118)/2</f>
        <v>125.21739130434784</v>
      </c>
      <c r="H118" s="206"/>
      <c r="I118" s="180">
        <v>5.2</v>
      </c>
      <c r="J118" s="177">
        <f t="shared" si="44"/>
        <v>221.53846153846155</v>
      </c>
      <c r="K118" s="177">
        <f>(J118)/2</f>
        <v>110.76923076923077</v>
      </c>
      <c r="L118" s="178"/>
      <c r="M118" s="197"/>
      <c r="N118" s="150"/>
      <c r="O118" s="175"/>
      <c r="P118" s="178"/>
    </row>
    <row r="119" spans="1:16" ht="16.2" thickBot="1" x14ac:dyDescent="0.35">
      <c r="B119" s="395" t="s">
        <v>149</v>
      </c>
      <c r="C119" s="396"/>
      <c r="D119" s="396"/>
      <c r="E119" s="396"/>
      <c r="F119" s="396"/>
      <c r="G119" s="396"/>
      <c r="H119" s="396"/>
      <c r="I119" s="390"/>
      <c r="J119" s="390"/>
      <c r="K119" s="390"/>
      <c r="L119" s="390"/>
      <c r="M119" s="396"/>
      <c r="N119" s="396"/>
      <c r="O119" s="396"/>
      <c r="P119" s="397"/>
    </row>
    <row r="120" spans="1:16" ht="15.6" x14ac:dyDescent="0.3">
      <c r="A120" s="182" t="s">
        <v>107</v>
      </c>
      <c r="B120" s="160">
        <f>$V$7</f>
        <v>30</v>
      </c>
      <c r="C120" s="161">
        <f>$W$7</f>
        <v>70</v>
      </c>
      <c r="D120" s="161">
        <f>B120*C120^3/12</f>
        <v>857500</v>
      </c>
      <c r="E120" s="161">
        <f>'Carichi unitari'!$M$4</f>
        <v>3.2</v>
      </c>
      <c r="F120" s="162">
        <f>D120/(100*E120)</f>
        <v>2679.6875</v>
      </c>
      <c r="G120" s="161"/>
      <c r="H120" s="234">
        <f>12*'Carichi unitari'!$M$9*F120/E120^2/1000000/(1+0.5*(F120/G121+F120/G123))</f>
        <v>23.843767519604221</v>
      </c>
      <c r="I120" s="160">
        <f>'Carichi unitari'!$M$4</f>
        <v>3.2</v>
      </c>
      <c r="J120" s="162">
        <f>D120/(100*I120)</f>
        <v>2679.6875</v>
      </c>
      <c r="K120" s="161"/>
      <c r="L120" s="163">
        <f>12*'Carichi unitari'!$M$9*J120/I120^2/1000000/(1+0.5*(J120/K121+J120/K123))</f>
        <v>21.695992771544809</v>
      </c>
      <c r="M120" s="190">
        <v>0</v>
      </c>
      <c r="N120" s="164"/>
      <c r="O120" s="165">
        <v>1</v>
      </c>
      <c r="P120" s="163"/>
    </row>
    <row r="121" spans="1:16" ht="15.6" x14ac:dyDescent="0.3">
      <c r="A121" s="183" t="s">
        <v>108</v>
      </c>
      <c r="B121" s="166">
        <f>$T$12</f>
        <v>100</v>
      </c>
      <c r="C121" s="54">
        <f>$U$12</f>
        <v>24</v>
      </c>
      <c r="D121" s="54">
        <f t="shared" ref="D121:D129" si="45">B121*C121^3/12</f>
        <v>115200</v>
      </c>
      <c r="E121" s="90">
        <v>4.5999999999999996</v>
      </c>
      <c r="F121" s="167">
        <f t="shared" ref="F121:F129" si="46">D121/(100*E121)</f>
        <v>250.43478260869568</v>
      </c>
      <c r="G121" s="167">
        <f>(F121+F122)/2</f>
        <v>712.17391304347836</v>
      </c>
      <c r="H121" s="205"/>
      <c r="I121" s="179">
        <v>5.2</v>
      </c>
      <c r="J121" s="167">
        <f t="shared" ref="J121:J129" si="47">D121/(100*I121)</f>
        <v>221.53846153846155</v>
      </c>
      <c r="K121" s="167">
        <f>(J121+J122)/2</f>
        <v>630</v>
      </c>
      <c r="L121" s="243">
        <f>L120/$L$92</f>
        <v>0.68052816819300155</v>
      </c>
      <c r="M121" s="191"/>
      <c r="N121" s="149"/>
      <c r="O121" s="169"/>
      <c r="P121" s="168"/>
    </row>
    <row r="122" spans="1:16" ht="15.6" x14ac:dyDescent="0.3">
      <c r="A122" s="184"/>
      <c r="B122" s="166">
        <f>$T$7</f>
        <v>30</v>
      </c>
      <c r="C122" s="54">
        <f>$U$7</f>
        <v>60</v>
      </c>
      <c r="D122" s="54">
        <f t="shared" si="45"/>
        <v>540000</v>
      </c>
      <c r="E122" s="90">
        <v>4.5999999999999996</v>
      </c>
      <c r="F122" s="167">
        <f t="shared" si="46"/>
        <v>1173.913043478261</v>
      </c>
      <c r="G122" s="167"/>
      <c r="H122" s="205"/>
      <c r="I122" s="179">
        <v>5.2</v>
      </c>
      <c r="J122" s="167">
        <f t="shared" si="47"/>
        <v>1038.4615384615386</v>
      </c>
      <c r="K122" s="167"/>
      <c r="L122" s="168"/>
      <c r="M122" s="191"/>
      <c r="N122" s="149"/>
      <c r="O122" s="169"/>
      <c r="P122" s="168"/>
    </row>
    <row r="123" spans="1:16" ht="15.6" x14ac:dyDescent="0.3">
      <c r="A123" s="184" t="s">
        <v>109</v>
      </c>
      <c r="B123" s="166">
        <f>$T$12</f>
        <v>100</v>
      </c>
      <c r="C123" s="54">
        <f>$U$12</f>
        <v>24</v>
      </c>
      <c r="D123" s="54">
        <f t="shared" si="45"/>
        <v>115200</v>
      </c>
      <c r="E123" s="90">
        <v>4.5999999999999996</v>
      </c>
      <c r="F123" s="167">
        <f t="shared" si="46"/>
        <v>250.43478260869568</v>
      </c>
      <c r="G123" s="167">
        <f>(F123+F124)/2</f>
        <v>1057.2826086956522</v>
      </c>
      <c r="H123" s="205"/>
      <c r="I123" s="179">
        <v>5.2</v>
      </c>
      <c r="J123" s="167">
        <f t="shared" si="47"/>
        <v>221.53846153846155</v>
      </c>
      <c r="K123" s="167">
        <f>(J123+J124)/2</f>
        <v>935.28846153846143</v>
      </c>
      <c r="L123" s="168"/>
      <c r="M123" s="191"/>
      <c r="N123" s="149"/>
      <c r="O123" s="169"/>
      <c r="P123" s="168"/>
    </row>
    <row r="124" spans="1:16" ht="16.2" thickBot="1" x14ac:dyDescent="0.35">
      <c r="A124" s="185"/>
      <c r="B124" s="170">
        <f>$T$8</f>
        <v>30</v>
      </c>
      <c r="C124" s="171">
        <f>$U$8</f>
        <v>70</v>
      </c>
      <c r="D124" s="171">
        <f t="shared" si="45"/>
        <v>857500</v>
      </c>
      <c r="E124" s="144">
        <v>4.5999999999999996</v>
      </c>
      <c r="F124" s="172">
        <f t="shared" si="46"/>
        <v>1864.130434782609</v>
      </c>
      <c r="G124" s="172"/>
      <c r="H124" s="235"/>
      <c r="I124" s="236">
        <v>5.2</v>
      </c>
      <c r="J124" s="172">
        <f t="shared" si="47"/>
        <v>1649.0384615384614</v>
      </c>
      <c r="K124" s="172"/>
      <c r="L124" s="173"/>
      <c r="M124" s="197"/>
      <c r="N124" s="150"/>
      <c r="O124" s="181"/>
      <c r="P124" s="178"/>
    </row>
    <row r="125" spans="1:16" ht="15.6" x14ac:dyDescent="0.3">
      <c r="A125" s="182" t="s">
        <v>107</v>
      </c>
      <c r="B125" s="160">
        <f>$W$7</f>
        <v>70</v>
      </c>
      <c r="C125" s="161">
        <f>$V$7</f>
        <v>30</v>
      </c>
      <c r="D125" s="161">
        <f t="shared" si="45"/>
        <v>157500</v>
      </c>
      <c r="E125" s="161">
        <f>'Carichi unitari'!$M$4</f>
        <v>3.2</v>
      </c>
      <c r="F125" s="162">
        <f t="shared" si="46"/>
        <v>492.1875</v>
      </c>
      <c r="G125" s="162"/>
      <c r="H125" s="234">
        <f>12*'Carichi unitari'!$M$9*F125/E125^2/1000000/(1+0.5*(F125/G126+F125/G128))</f>
        <v>11.51142668654699</v>
      </c>
      <c r="I125" s="160">
        <f>'Carichi unitari'!$M$4</f>
        <v>3.2</v>
      </c>
      <c r="J125" s="162">
        <f t="shared" si="47"/>
        <v>492.1875</v>
      </c>
      <c r="K125" s="162"/>
      <c r="L125" s="163">
        <f>12*'Carichi unitari'!$M$9*J125/I125^2/1000000/(1+0.5*(J125/K126+J125/K128))</f>
        <v>10.986356724585793</v>
      </c>
      <c r="M125" s="190">
        <v>4</v>
      </c>
      <c r="N125" s="164"/>
      <c r="O125" s="165">
        <v>1</v>
      </c>
      <c r="P125" s="163"/>
    </row>
    <row r="126" spans="1:16" ht="15.6" x14ac:dyDescent="0.3">
      <c r="A126" s="183" t="s">
        <v>108</v>
      </c>
      <c r="B126" s="166">
        <f>$T$12</f>
        <v>100</v>
      </c>
      <c r="C126" s="54">
        <f>$U$12</f>
        <v>24</v>
      </c>
      <c r="D126" s="54">
        <f t="shared" si="45"/>
        <v>115200</v>
      </c>
      <c r="E126" s="90">
        <v>4.5999999999999996</v>
      </c>
      <c r="F126" s="167">
        <f t="shared" si="46"/>
        <v>250.43478260869568</v>
      </c>
      <c r="G126" s="167">
        <f>(F126+F127)/2</f>
        <v>712.17391304347836</v>
      </c>
      <c r="H126" s="205"/>
      <c r="I126" s="179">
        <v>5.2</v>
      </c>
      <c r="J126" s="167">
        <f t="shared" si="47"/>
        <v>221.53846153846155</v>
      </c>
      <c r="K126" s="167">
        <f>(J126+J127)/2</f>
        <v>630</v>
      </c>
      <c r="L126" s="243">
        <f>L125/$L$92</f>
        <v>0.34460396883534206</v>
      </c>
      <c r="M126" s="191"/>
      <c r="N126" s="149"/>
      <c r="O126" s="166"/>
      <c r="P126" s="168"/>
    </row>
    <row r="127" spans="1:16" x14ac:dyDescent="0.3">
      <c r="B127" s="166">
        <f>$T$7</f>
        <v>30</v>
      </c>
      <c r="C127" s="54">
        <f>$U$7</f>
        <v>60</v>
      </c>
      <c r="D127" s="54">
        <f t="shared" si="45"/>
        <v>540000</v>
      </c>
      <c r="E127" s="90">
        <v>4.5999999999999996</v>
      </c>
      <c r="F127" s="167">
        <f t="shared" si="46"/>
        <v>1173.913043478261</v>
      </c>
      <c r="G127" s="88"/>
      <c r="H127" s="239"/>
      <c r="I127" s="179">
        <v>5.2</v>
      </c>
      <c r="J127" s="167">
        <f t="shared" si="47"/>
        <v>1038.4615384615386</v>
      </c>
      <c r="K127" s="88"/>
      <c r="L127" s="108"/>
      <c r="M127" s="198"/>
      <c r="N127" s="108"/>
      <c r="O127" s="188"/>
      <c r="P127" s="108"/>
    </row>
    <row r="128" spans="1:16" ht="16.2" thickBot="1" x14ac:dyDescent="0.35">
      <c r="A128" s="186" t="s">
        <v>109</v>
      </c>
      <c r="B128" s="166">
        <f>$T$12</f>
        <v>100</v>
      </c>
      <c r="C128" s="54">
        <f>$U$12</f>
        <v>24</v>
      </c>
      <c r="D128" s="54">
        <f t="shared" si="45"/>
        <v>115200</v>
      </c>
      <c r="E128" s="90">
        <v>4.5999999999999996</v>
      </c>
      <c r="F128" s="167">
        <f t="shared" si="46"/>
        <v>250.43478260869568</v>
      </c>
      <c r="G128" s="167">
        <f>(F128+F129)/2</f>
        <v>1057.2826086956522</v>
      </c>
      <c r="H128" s="205"/>
      <c r="I128" s="179">
        <v>5.2</v>
      </c>
      <c r="J128" s="167">
        <f t="shared" si="47"/>
        <v>221.53846153846155</v>
      </c>
      <c r="K128" s="167">
        <f>(J128+J129)/2</f>
        <v>935.28846153846143</v>
      </c>
      <c r="L128" s="168"/>
      <c r="M128" s="191"/>
      <c r="N128" s="149"/>
      <c r="O128" s="166"/>
      <c r="P128" s="168"/>
    </row>
    <row r="129" spans="1:16" ht="15" thickBot="1" x14ac:dyDescent="0.35">
      <c r="B129" s="175">
        <f>$T$8</f>
        <v>30</v>
      </c>
      <c r="C129" s="52">
        <f>$U$8</f>
        <v>70</v>
      </c>
      <c r="D129" s="52">
        <f t="shared" si="45"/>
        <v>857500</v>
      </c>
      <c r="E129" s="176">
        <v>4.5999999999999996</v>
      </c>
      <c r="F129" s="177">
        <f t="shared" si="46"/>
        <v>1864.130434782609</v>
      </c>
      <c r="G129" s="39"/>
      <c r="H129" s="240"/>
      <c r="I129" s="180">
        <v>5.2</v>
      </c>
      <c r="J129" s="177">
        <f t="shared" si="47"/>
        <v>1649.0384615384614</v>
      </c>
      <c r="K129" s="39"/>
      <c r="L129" s="187"/>
      <c r="M129" s="199"/>
      <c r="N129" s="187"/>
      <c r="O129" s="189"/>
      <c r="P129" s="187"/>
    </row>
    <row r="131" spans="1:16" ht="15" thickBot="1" x14ac:dyDescent="0.35"/>
    <row r="132" spans="1:16" ht="16.2" thickBot="1" x14ac:dyDescent="0.35">
      <c r="A132" s="1"/>
      <c r="B132" s="404" t="s">
        <v>135</v>
      </c>
      <c r="C132" s="405"/>
      <c r="D132" s="405"/>
      <c r="E132" s="405"/>
      <c r="F132" s="405"/>
      <c r="G132" s="405"/>
      <c r="H132" s="406"/>
      <c r="I132" s="207"/>
      <c r="J132" s="207"/>
      <c r="K132" s="207"/>
      <c r="L132" s="207"/>
      <c r="M132" s="398" t="s">
        <v>113</v>
      </c>
      <c r="N132" s="399"/>
      <c r="O132" s="398" t="s">
        <v>138</v>
      </c>
      <c r="P132" s="399"/>
    </row>
    <row r="133" spans="1:16" ht="19.2" thickBot="1" x14ac:dyDescent="0.35">
      <c r="B133" s="151" t="s">
        <v>110</v>
      </c>
      <c r="C133" s="152" t="s">
        <v>111</v>
      </c>
      <c r="D133" s="152" t="s">
        <v>129</v>
      </c>
      <c r="E133" s="152" t="s">
        <v>114</v>
      </c>
      <c r="F133" s="152" t="s">
        <v>140</v>
      </c>
      <c r="G133" s="152"/>
      <c r="H133" s="153" t="s">
        <v>128</v>
      </c>
      <c r="I133" s="152" t="s">
        <v>114</v>
      </c>
      <c r="J133" s="152" t="s">
        <v>140</v>
      </c>
      <c r="K133" s="152"/>
      <c r="L133" s="153" t="s">
        <v>128</v>
      </c>
      <c r="M133" s="151" t="s">
        <v>112</v>
      </c>
      <c r="N133" s="154" t="s">
        <v>146</v>
      </c>
      <c r="O133" s="151" t="s">
        <v>112</v>
      </c>
      <c r="P133" s="154" t="s">
        <v>146</v>
      </c>
    </row>
    <row r="134" spans="1:16" ht="16.2" thickBot="1" x14ac:dyDescent="0.35">
      <c r="B134" s="395" t="s">
        <v>139</v>
      </c>
      <c r="C134" s="396"/>
      <c r="D134" s="396"/>
      <c r="E134" s="396"/>
      <c r="F134" s="396"/>
      <c r="G134" s="396"/>
      <c r="H134" s="396"/>
      <c r="I134" s="396"/>
      <c r="J134" s="396"/>
      <c r="K134" s="396"/>
      <c r="L134" s="396"/>
      <c r="M134" s="393"/>
      <c r="N134" s="393"/>
      <c r="O134" s="393"/>
      <c r="P134" s="394"/>
    </row>
    <row r="135" spans="1:16" ht="15.6" x14ac:dyDescent="0.3">
      <c r="A135" s="182" t="s">
        <v>107</v>
      </c>
      <c r="B135" s="160">
        <f>$V$8</f>
        <v>30</v>
      </c>
      <c r="C135" s="161">
        <f>$W$8</f>
        <v>70</v>
      </c>
      <c r="D135" s="161">
        <f>B135*C135^3/12</f>
        <v>857500</v>
      </c>
      <c r="E135" s="161">
        <f>'Carichi unitari'!$M$4</f>
        <v>3.2</v>
      </c>
      <c r="F135" s="162">
        <f>D135/(100*E135)</f>
        <v>2679.6875</v>
      </c>
      <c r="G135" s="161"/>
      <c r="H135" s="234">
        <f>12*'Carichi unitari'!$M$9*F135/E135^2/1000000/(1+0.5*(F135/G136+F135/G137))</f>
        <v>40.581805889423073</v>
      </c>
      <c r="I135" s="160">
        <f>'Carichi unitari'!$M$4</f>
        <v>3.2</v>
      </c>
      <c r="J135" s="162">
        <f>D135/(100*I135)</f>
        <v>2679.6875</v>
      </c>
      <c r="K135" s="161"/>
      <c r="L135" s="163">
        <f>12*'Carichi unitari'!$M$9*J135/I135^2/1000000/(1+0.5*(J135/K136+J135/K137))</f>
        <v>37.683105468749993</v>
      </c>
      <c r="M135" s="190">
        <v>7</v>
      </c>
      <c r="N135" s="163">
        <f>H135*M135+H138*M138+H142*M142+H145*M145+H149*M149+H152*M152+H156*M156+H159*M159+H163*M163+H168*M168</f>
        <v>546.93047269169267</v>
      </c>
      <c r="O135" s="165">
        <v>9</v>
      </c>
      <c r="P135" s="163">
        <f>L135*O135+L138*O138+L145*O145+L149*O149+L152*O152+L156*O156+L159*O159+L163*O163+L142*O142+L168*O168</f>
        <v>527.16318732266973</v>
      </c>
    </row>
    <row r="136" spans="1:16" ht="15.6" x14ac:dyDescent="0.3">
      <c r="A136" s="183" t="s">
        <v>108</v>
      </c>
      <c r="B136" s="166">
        <f>$T$8</f>
        <v>30</v>
      </c>
      <c r="C136" s="54">
        <f>$U$8</f>
        <v>70</v>
      </c>
      <c r="D136" s="54">
        <f t="shared" ref="D136:D140" si="48">B136*C136^3/12</f>
        <v>857500</v>
      </c>
      <c r="E136" s="90">
        <v>4.5999999999999996</v>
      </c>
      <c r="F136" s="167">
        <f t="shared" ref="F136:F140" si="49">D136/(100*E136)</f>
        <v>1864.130434782609</v>
      </c>
      <c r="G136" s="167">
        <f>(F136+F136)/2</f>
        <v>1864.130434782609</v>
      </c>
      <c r="H136" s="205"/>
      <c r="I136" s="179">
        <v>5.2</v>
      </c>
      <c r="J136" s="167">
        <f t="shared" ref="J136:J140" si="50">D136/(100*I136)</f>
        <v>1649.0384615384614</v>
      </c>
      <c r="K136" s="167">
        <f>(J136+J136)/2</f>
        <v>1649.0384615384614</v>
      </c>
      <c r="L136" s="242">
        <f>L135/L135</f>
        <v>1</v>
      </c>
      <c r="M136" s="191"/>
      <c r="N136" s="243">
        <f>N135/H135</f>
        <v>13.4772334721122</v>
      </c>
      <c r="O136" s="169"/>
      <c r="P136" s="243">
        <f>P135/L135</f>
        <v>13.989377488005543</v>
      </c>
    </row>
    <row r="137" spans="1:16" ht="16.2" thickBot="1" x14ac:dyDescent="0.35">
      <c r="A137" s="184" t="s">
        <v>109</v>
      </c>
      <c r="B137" s="175">
        <f>$T$9</f>
        <v>30</v>
      </c>
      <c r="C137" s="52">
        <f>$U$9</f>
        <v>70</v>
      </c>
      <c r="D137" s="52">
        <f t="shared" si="48"/>
        <v>857500</v>
      </c>
      <c r="E137" s="176">
        <v>4.5999999999999996</v>
      </c>
      <c r="F137" s="177">
        <f t="shared" si="49"/>
        <v>1864.130434782609</v>
      </c>
      <c r="G137" s="177">
        <f>(F137+F137)/2</f>
        <v>1864.130434782609</v>
      </c>
      <c r="H137" s="206"/>
      <c r="I137" s="236">
        <v>5.2</v>
      </c>
      <c r="J137" s="172">
        <f t="shared" si="50"/>
        <v>1649.0384615384614</v>
      </c>
      <c r="K137" s="172">
        <f>(J137+J137)/2</f>
        <v>1649.0384615384614</v>
      </c>
      <c r="L137" s="173"/>
      <c r="M137" s="192"/>
      <c r="N137" s="159"/>
      <c r="O137" s="174"/>
      <c r="P137" s="173"/>
    </row>
    <row r="138" spans="1:16" ht="15.6" x14ac:dyDescent="0.3">
      <c r="A138" s="182" t="s">
        <v>107</v>
      </c>
      <c r="B138" s="160">
        <f>$W$8</f>
        <v>70</v>
      </c>
      <c r="C138" s="161">
        <f>$V$8</f>
        <v>30</v>
      </c>
      <c r="D138" s="161">
        <f t="shared" si="48"/>
        <v>157500</v>
      </c>
      <c r="E138" s="161">
        <f>'Carichi unitari'!$M$4</f>
        <v>3.2</v>
      </c>
      <c r="F138" s="162">
        <f t="shared" si="49"/>
        <v>492.1875</v>
      </c>
      <c r="G138" s="162"/>
      <c r="H138" s="234">
        <f>12*'Carichi unitari'!$M$9*F138/E138^2/1000000/(1+0.5*(F138/G139+F138/G140))</f>
        <v>14.373576051652369</v>
      </c>
      <c r="I138" s="160">
        <f>'Carichi unitari'!$M$4</f>
        <v>3.2</v>
      </c>
      <c r="J138" s="162">
        <f t="shared" si="50"/>
        <v>492.1875</v>
      </c>
      <c r="K138" s="162"/>
      <c r="L138" s="163">
        <f>12*'Carichi unitari'!$M$9*J138/I138^2/1000000/(1+0.5*(J138/K139+J138/K140))</f>
        <v>13.992351539476912</v>
      </c>
      <c r="M138" s="190">
        <v>1</v>
      </c>
      <c r="N138" s="164"/>
      <c r="O138" s="165">
        <v>1</v>
      </c>
      <c r="P138" s="163"/>
    </row>
    <row r="139" spans="1:16" ht="15.6" x14ac:dyDescent="0.3">
      <c r="A139" s="183" t="s">
        <v>108</v>
      </c>
      <c r="B139" s="166">
        <f>$T$8</f>
        <v>30</v>
      </c>
      <c r="C139" s="54">
        <f>$U$8</f>
        <v>70</v>
      </c>
      <c r="D139" s="54">
        <f t="shared" si="48"/>
        <v>857500</v>
      </c>
      <c r="E139" s="90">
        <v>4.5999999999999996</v>
      </c>
      <c r="F139" s="167">
        <f t="shared" si="49"/>
        <v>1864.130434782609</v>
      </c>
      <c r="G139" s="167">
        <f>(F139+F139)/2</f>
        <v>1864.130434782609</v>
      </c>
      <c r="H139" s="205"/>
      <c r="I139" s="179">
        <v>5.2</v>
      </c>
      <c r="J139" s="167">
        <f t="shared" si="50"/>
        <v>1649.0384615384614</v>
      </c>
      <c r="K139" s="167">
        <f>(J139+J139)/2</f>
        <v>1649.0384615384614</v>
      </c>
      <c r="L139" s="243">
        <f>L138/$L$135</f>
        <v>0.37131630648330055</v>
      </c>
      <c r="M139" s="191"/>
      <c r="N139" s="149"/>
      <c r="O139" s="166"/>
      <c r="P139" s="168"/>
    </row>
    <row r="140" spans="1:16" ht="16.2" thickBot="1" x14ac:dyDescent="0.35">
      <c r="A140" s="186" t="s">
        <v>109</v>
      </c>
      <c r="B140" s="175">
        <f>$T$9</f>
        <v>30</v>
      </c>
      <c r="C140" s="52">
        <f>$U$9</f>
        <v>70</v>
      </c>
      <c r="D140" s="52">
        <f t="shared" si="48"/>
        <v>857500</v>
      </c>
      <c r="E140" s="176">
        <v>4.5999999999999996</v>
      </c>
      <c r="F140" s="177">
        <f t="shared" si="49"/>
        <v>1864.130434782609</v>
      </c>
      <c r="G140" s="177">
        <f>(F140+F140)/2</f>
        <v>1864.130434782609</v>
      </c>
      <c r="H140" s="206"/>
      <c r="I140" s="180">
        <v>5.2</v>
      </c>
      <c r="J140" s="177">
        <f t="shared" si="50"/>
        <v>1649.0384615384614</v>
      </c>
      <c r="K140" s="177">
        <f>(J140+J140)/2</f>
        <v>1649.0384615384614</v>
      </c>
      <c r="L140" s="178"/>
      <c r="M140" s="197"/>
      <c r="N140" s="150"/>
      <c r="O140" s="175"/>
      <c r="P140" s="178"/>
    </row>
    <row r="141" spans="1:16" ht="16.2" thickBot="1" x14ac:dyDescent="0.35">
      <c r="B141" s="408" t="s">
        <v>144</v>
      </c>
      <c r="C141" s="402"/>
      <c r="D141" s="402"/>
      <c r="E141" s="402"/>
      <c r="F141" s="402"/>
      <c r="G141" s="402"/>
      <c r="H141" s="402"/>
      <c r="I141" s="402"/>
      <c r="J141" s="402"/>
      <c r="K141" s="402"/>
      <c r="L141" s="402"/>
      <c r="M141" s="401"/>
      <c r="N141" s="401"/>
      <c r="O141" s="401"/>
      <c r="P141" s="403"/>
    </row>
    <row r="142" spans="1:16" ht="15.6" x14ac:dyDescent="0.3">
      <c r="A142" s="182" t="s">
        <v>107</v>
      </c>
      <c r="B142" s="160">
        <f>$V$8</f>
        <v>30</v>
      </c>
      <c r="C142" s="161">
        <f>$W$8</f>
        <v>70</v>
      </c>
      <c r="D142" s="161">
        <f>B142*C142^3/12</f>
        <v>857500</v>
      </c>
      <c r="E142" s="161">
        <f>'Carichi unitari'!$M$4</f>
        <v>3.2</v>
      </c>
      <c r="F142" s="162">
        <f>D142/(100*E142)</f>
        <v>2679.6875</v>
      </c>
      <c r="G142" s="161"/>
      <c r="H142" s="234">
        <f>12*'Carichi unitari'!$M$9*F142/E142^2/1000000/(1+0.5*(F142/G143+F142/G144))</f>
        <v>8.4544409641235845</v>
      </c>
      <c r="I142" s="160">
        <f>'Carichi unitari'!$M$4</f>
        <v>3.2</v>
      </c>
      <c r="J142" s="162">
        <f>D142/(100*I142)</f>
        <v>2679.6875</v>
      </c>
      <c r="K142" s="161"/>
      <c r="L142" s="163">
        <f>12*'Carichi unitari'!$M$9*J142/I142^2/1000000/(1+0.5*(J142/K143+J142/K144))</f>
        <v>7.5534189583316058</v>
      </c>
      <c r="M142" s="190">
        <v>1</v>
      </c>
      <c r="N142" s="163"/>
      <c r="O142" s="165">
        <v>0</v>
      </c>
      <c r="P142" s="163"/>
    </row>
    <row r="143" spans="1:16" ht="15.6" x14ac:dyDescent="0.3">
      <c r="A143" s="183" t="s">
        <v>108</v>
      </c>
      <c r="B143" s="166">
        <f>$T$12</f>
        <v>100</v>
      </c>
      <c r="C143" s="54">
        <f>$U$12</f>
        <v>24</v>
      </c>
      <c r="D143" s="54">
        <f t="shared" ref="D143:D144" si="51">B143*C143^3/12</f>
        <v>115200</v>
      </c>
      <c r="E143" s="90">
        <v>4.5999999999999996</v>
      </c>
      <c r="F143" s="167">
        <f t="shared" ref="F143:F144" si="52">D143/(100*E143)</f>
        <v>250.43478260869568</v>
      </c>
      <c r="G143" s="167">
        <f>(F143+F143)/2</f>
        <v>250.43478260869568</v>
      </c>
      <c r="H143" s="205"/>
      <c r="I143" s="179">
        <v>5.2</v>
      </c>
      <c r="J143" s="167">
        <f t="shared" ref="J143:J147" si="53">D143/(100*I143)</f>
        <v>221.53846153846155</v>
      </c>
      <c r="K143" s="167">
        <f>(J143+J143)/2</f>
        <v>221.53846153846155</v>
      </c>
      <c r="L143" s="243">
        <f>L142/$L$135</f>
        <v>0.20044576646145942</v>
      </c>
      <c r="M143" s="191"/>
      <c r="N143" s="149"/>
      <c r="O143" s="169"/>
      <c r="P143" s="168"/>
    </row>
    <row r="144" spans="1:16" ht="16.2" thickBot="1" x14ac:dyDescent="0.35">
      <c r="A144" s="184" t="s">
        <v>109</v>
      </c>
      <c r="B144" s="175">
        <f>$T$12</f>
        <v>100</v>
      </c>
      <c r="C144" s="52">
        <f>$U$12</f>
        <v>24</v>
      </c>
      <c r="D144" s="52">
        <f t="shared" si="51"/>
        <v>115200</v>
      </c>
      <c r="E144" s="176">
        <v>4.5999999999999996</v>
      </c>
      <c r="F144" s="177">
        <f t="shared" si="52"/>
        <v>250.43478260869568</v>
      </c>
      <c r="G144" s="177">
        <f>(F144+F144)/2</f>
        <v>250.43478260869568</v>
      </c>
      <c r="H144" s="206"/>
      <c r="I144" s="236">
        <v>5.2</v>
      </c>
      <c r="J144" s="172">
        <f t="shared" si="53"/>
        <v>221.53846153846155</v>
      </c>
      <c r="K144" s="172">
        <f>(J144+J144)/2</f>
        <v>221.53846153846155</v>
      </c>
      <c r="L144" s="173"/>
      <c r="M144" s="197"/>
      <c r="N144" s="150"/>
      <c r="O144" s="181"/>
      <c r="P144" s="178"/>
    </row>
    <row r="145" spans="1:16" ht="15.6" x14ac:dyDescent="0.3">
      <c r="A145" s="182" t="s">
        <v>107</v>
      </c>
      <c r="B145" s="160">
        <f>$W$8</f>
        <v>70</v>
      </c>
      <c r="C145" s="161">
        <f>$V$8</f>
        <v>30</v>
      </c>
      <c r="D145" s="161">
        <f>B145*C145^3/12</f>
        <v>157500</v>
      </c>
      <c r="E145" s="161">
        <f>'Carichi unitari'!$M$4</f>
        <v>3.2</v>
      </c>
      <c r="F145" s="161">
        <f>D145/(100*E145)</f>
        <v>492.1875</v>
      </c>
      <c r="G145" s="161"/>
      <c r="H145" s="234">
        <f>12*'Carichi unitari'!$M$9*F145/E145^2/1000000/(1+0.5*(F145/G146+F145/G147))</f>
        <v>6.1270171249794156</v>
      </c>
      <c r="I145" s="160">
        <f>'Carichi unitari'!$M$4</f>
        <v>3.2</v>
      </c>
      <c r="J145" s="162">
        <f t="shared" si="53"/>
        <v>492.1875</v>
      </c>
      <c r="K145" s="161"/>
      <c r="L145" s="163">
        <f>12*'Carichi unitari'!$M$9*J145/I145^2/1000000/(1+0.5*(J145/K146+J145/K147))</f>
        <v>5.6394930281903592</v>
      </c>
      <c r="M145" s="190">
        <v>1</v>
      </c>
      <c r="N145" s="164"/>
      <c r="O145" s="160">
        <v>0</v>
      </c>
      <c r="P145" s="163"/>
    </row>
    <row r="146" spans="1:16" ht="15.6" x14ac:dyDescent="0.3">
      <c r="A146" s="183" t="s">
        <v>108</v>
      </c>
      <c r="B146" s="166">
        <f>$T$12</f>
        <v>100</v>
      </c>
      <c r="C146" s="54">
        <f>$U$12</f>
        <v>24</v>
      </c>
      <c r="D146" s="54">
        <f>B146*C146^3/12</f>
        <v>115200</v>
      </c>
      <c r="E146" s="90">
        <v>4.5999999999999996</v>
      </c>
      <c r="F146" s="54">
        <f>D146/(100*E146)</f>
        <v>250.43478260869568</v>
      </c>
      <c r="G146" s="167">
        <f t="shared" ref="G146:G147" si="54">(F146+F146)/2</f>
        <v>250.43478260869568</v>
      </c>
      <c r="H146" s="205"/>
      <c r="I146" s="179">
        <v>5.2</v>
      </c>
      <c r="J146" s="167">
        <f t="shared" si="53"/>
        <v>221.53846153846155</v>
      </c>
      <c r="K146" s="167">
        <f t="shared" ref="K146:K147" si="55">(J146+J146)/2</f>
        <v>221.53846153846155</v>
      </c>
      <c r="L146" s="243">
        <f>L145/$L$135</f>
        <v>0.14965573983458189</v>
      </c>
      <c r="M146" s="237"/>
      <c r="N146" s="149"/>
      <c r="O146" s="166"/>
      <c r="P146" s="168"/>
    </row>
    <row r="147" spans="1:16" ht="16.2" thickBot="1" x14ac:dyDescent="0.35">
      <c r="A147" s="186" t="s">
        <v>109</v>
      </c>
      <c r="B147" s="175">
        <f>$T$12</f>
        <v>100</v>
      </c>
      <c r="C147" s="52">
        <f>$U$12</f>
        <v>24</v>
      </c>
      <c r="D147" s="52">
        <f>B147*C147^3/12</f>
        <v>115200</v>
      </c>
      <c r="E147" s="176">
        <v>4.5999999999999996</v>
      </c>
      <c r="F147" s="52">
        <f>D147/(100*E147)</f>
        <v>250.43478260869568</v>
      </c>
      <c r="G147" s="177">
        <f t="shared" si="54"/>
        <v>250.43478260869568</v>
      </c>
      <c r="H147" s="206"/>
      <c r="I147" s="180">
        <v>5.2</v>
      </c>
      <c r="J147" s="177">
        <f t="shared" si="53"/>
        <v>221.53846153846155</v>
      </c>
      <c r="K147" s="177">
        <f t="shared" si="55"/>
        <v>221.53846153846155</v>
      </c>
      <c r="L147" s="178"/>
      <c r="M147" s="238"/>
      <c r="N147" s="150"/>
      <c r="O147" s="175"/>
      <c r="P147" s="178"/>
    </row>
    <row r="148" spans="1:16" ht="16.2" thickBot="1" x14ac:dyDescent="0.35">
      <c r="B148" s="407" t="s">
        <v>147</v>
      </c>
      <c r="C148" s="390"/>
      <c r="D148" s="390"/>
      <c r="E148" s="390"/>
      <c r="F148" s="390"/>
      <c r="G148" s="390"/>
      <c r="H148" s="390"/>
      <c r="I148" s="390"/>
      <c r="J148" s="390"/>
      <c r="K148" s="390"/>
      <c r="L148" s="390"/>
      <c r="M148" s="389"/>
      <c r="N148" s="389"/>
      <c r="O148" s="389"/>
      <c r="P148" s="391"/>
    </row>
    <row r="149" spans="1:16" ht="15.6" x14ac:dyDescent="0.3">
      <c r="A149" s="182" t="s">
        <v>107</v>
      </c>
      <c r="B149" s="160">
        <f>$V$8</f>
        <v>30</v>
      </c>
      <c r="C149" s="161">
        <f>$W$8</f>
        <v>70</v>
      </c>
      <c r="D149" s="161">
        <f>B149*C149^3/12</f>
        <v>857500</v>
      </c>
      <c r="E149" s="161">
        <f>'Carichi unitari'!$M$4</f>
        <v>3.2</v>
      </c>
      <c r="F149" s="162">
        <f>D149/(100*E149)</f>
        <v>2679.6875</v>
      </c>
      <c r="G149" s="161"/>
      <c r="H149" s="234">
        <f>12*'Carichi unitari'!$M$9*F149/E149^2/1000000/(1+0.5*(F149/G150+F149/G151))</f>
        <v>25.527264994959676</v>
      </c>
      <c r="I149" s="160">
        <f>'Carichi unitari'!$M$4</f>
        <v>3.2</v>
      </c>
      <c r="J149" s="162">
        <f>D149/(100*I149)</f>
        <v>2679.6875</v>
      </c>
      <c r="K149" s="161"/>
      <c r="L149" s="163">
        <f>12*'Carichi unitari'!$M$9*J149/I149^2/1000000/(1+0.5*(J149/K150+J149/K151))</f>
        <v>23.27485926011029</v>
      </c>
      <c r="M149" s="190">
        <v>6</v>
      </c>
      <c r="N149" s="164"/>
      <c r="O149" s="165">
        <v>0</v>
      </c>
      <c r="P149" s="163"/>
    </row>
    <row r="150" spans="1:16" ht="15.6" x14ac:dyDescent="0.3">
      <c r="A150" s="183" t="s">
        <v>108</v>
      </c>
      <c r="B150" s="166">
        <f>$T$8</f>
        <v>30</v>
      </c>
      <c r="C150" s="54">
        <f>$U$8</f>
        <v>70</v>
      </c>
      <c r="D150" s="54">
        <f t="shared" ref="D150:D154" si="56">B150*C150^3/12</f>
        <v>857500</v>
      </c>
      <c r="E150" s="90">
        <v>4.5999999999999996</v>
      </c>
      <c r="F150" s="167">
        <f t="shared" ref="F150:F154" si="57">D150/(100*E150)</f>
        <v>1864.130434782609</v>
      </c>
      <c r="G150" s="167">
        <f>(F150)/2</f>
        <v>932.06521739130449</v>
      </c>
      <c r="H150" s="205"/>
      <c r="I150" s="179">
        <v>5.2</v>
      </c>
      <c r="J150" s="167">
        <f t="shared" ref="J150:J154" si="58">D150/(100*I150)</f>
        <v>1649.0384615384614</v>
      </c>
      <c r="K150" s="167">
        <f>(J150)/2</f>
        <v>824.51923076923072</v>
      </c>
      <c r="L150" s="243">
        <f>L149/$L$135</f>
        <v>0.61764705882352944</v>
      </c>
      <c r="M150" s="191"/>
      <c r="N150" s="149"/>
      <c r="O150" s="169"/>
      <c r="P150" s="168"/>
    </row>
    <row r="151" spans="1:16" ht="16.2" thickBot="1" x14ac:dyDescent="0.35">
      <c r="A151" s="184" t="s">
        <v>109</v>
      </c>
      <c r="B151" s="175">
        <f>$T$9</f>
        <v>30</v>
      </c>
      <c r="C151" s="52">
        <f>$U$9</f>
        <v>70</v>
      </c>
      <c r="D151" s="171">
        <f t="shared" si="56"/>
        <v>857500</v>
      </c>
      <c r="E151" s="144">
        <v>4.5999999999999996</v>
      </c>
      <c r="F151" s="172">
        <f t="shared" si="57"/>
        <v>1864.130434782609</v>
      </c>
      <c r="G151" s="172">
        <f>(F151)/2</f>
        <v>932.06521739130449</v>
      </c>
      <c r="H151" s="235"/>
      <c r="I151" s="236">
        <v>5.2</v>
      </c>
      <c r="J151" s="172">
        <f t="shared" si="58"/>
        <v>1649.0384615384614</v>
      </c>
      <c r="K151" s="172">
        <f>(J151)/2</f>
        <v>824.51923076923072</v>
      </c>
      <c r="L151" s="173"/>
      <c r="M151" s="197"/>
      <c r="N151" s="150"/>
      <c r="O151" s="181"/>
      <c r="P151" s="178"/>
    </row>
    <row r="152" spans="1:16" ht="15.6" x14ac:dyDescent="0.3">
      <c r="A152" s="182" t="s">
        <v>107</v>
      </c>
      <c r="B152" s="160">
        <f>$W$8</f>
        <v>70</v>
      </c>
      <c r="C152" s="161">
        <f>$V$8</f>
        <v>30</v>
      </c>
      <c r="D152" s="161">
        <f t="shared" si="56"/>
        <v>157500</v>
      </c>
      <c r="E152" s="161">
        <f>'Carichi unitari'!$M$4</f>
        <v>3.2</v>
      </c>
      <c r="F152" s="162">
        <f t="shared" si="57"/>
        <v>492.1875</v>
      </c>
      <c r="G152" s="162"/>
      <c r="H152" s="234">
        <f>12*'Carichi unitari'!$M$9*F152/E152^2/1000000/(1+0.5*(F152/G153+F152/G154))</f>
        <v>11.889994880790901</v>
      </c>
      <c r="I152" s="160">
        <f>'Carichi unitari'!$M$4</f>
        <v>3.2</v>
      </c>
      <c r="J152" s="162">
        <f t="shared" si="58"/>
        <v>492.1875</v>
      </c>
      <c r="K152" s="162"/>
      <c r="L152" s="163">
        <f>12*'Carichi unitari'!$M$9*J152/I152^2/1000000/(1+0.5*(J152/K153+J152/K154))</f>
        <v>11.377167625549118</v>
      </c>
      <c r="M152" s="190">
        <v>2</v>
      </c>
      <c r="N152" s="164"/>
      <c r="O152" s="165">
        <v>12</v>
      </c>
      <c r="P152" s="163"/>
    </row>
    <row r="153" spans="1:16" ht="15.6" x14ac:dyDescent="0.3">
      <c r="A153" s="183" t="s">
        <v>108</v>
      </c>
      <c r="B153" s="166">
        <f>$T$8</f>
        <v>30</v>
      </c>
      <c r="C153" s="54">
        <f>$U$8</f>
        <v>70</v>
      </c>
      <c r="D153" s="54">
        <f t="shared" si="56"/>
        <v>857500</v>
      </c>
      <c r="E153" s="90">
        <v>4.5999999999999996</v>
      </c>
      <c r="F153" s="167">
        <f t="shared" si="57"/>
        <v>1864.130434782609</v>
      </c>
      <c r="G153" s="167">
        <f>(F153)/2</f>
        <v>932.06521739130449</v>
      </c>
      <c r="H153" s="205"/>
      <c r="I153" s="179">
        <v>5.2</v>
      </c>
      <c r="J153" s="167">
        <f t="shared" si="58"/>
        <v>1649.0384615384614</v>
      </c>
      <c r="K153" s="167">
        <f>(J153)/2</f>
        <v>824.51923076923072</v>
      </c>
      <c r="L153" s="243">
        <f>L152/$L$135</f>
        <v>0.30191693290734822</v>
      </c>
      <c r="M153" s="191"/>
      <c r="N153" s="149"/>
      <c r="O153" s="166"/>
      <c r="P153" s="168"/>
    </row>
    <row r="154" spans="1:16" ht="16.2" thickBot="1" x14ac:dyDescent="0.35">
      <c r="A154" s="186" t="s">
        <v>109</v>
      </c>
      <c r="B154" s="175">
        <f>$T$9</f>
        <v>30</v>
      </c>
      <c r="C154" s="52">
        <f>$U$9</f>
        <v>70</v>
      </c>
      <c r="D154" s="52">
        <f t="shared" si="56"/>
        <v>857500</v>
      </c>
      <c r="E154" s="176">
        <v>4.5999999999999996</v>
      </c>
      <c r="F154" s="177">
        <f t="shared" si="57"/>
        <v>1864.130434782609</v>
      </c>
      <c r="G154" s="177">
        <f>(F154)/2</f>
        <v>932.06521739130449</v>
      </c>
      <c r="H154" s="206"/>
      <c r="I154" s="180">
        <v>5.2</v>
      </c>
      <c r="J154" s="177">
        <f t="shared" si="58"/>
        <v>1649.0384615384614</v>
      </c>
      <c r="K154" s="177">
        <f>(J154)/2</f>
        <v>824.51923076923072</v>
      </c>
      <c r="L154" s="178"/>
      <c r="M154" s="197"/>
      <c r="N154" s="150"/>
      <c r="O154" s="175"/>
      <c r="P154" s="178"/>
    </row>
    <row r="155" spans="1:16" ht="16.2" thickBot="1" x14ac:dyDescent="0.35">
      <c r="B155" s="407" t="s">
        <v>148</v>
      </c>
      <c r="C155" s="390"/>
      <c r="D155" s="390"/>
      <c r="E155" s="390"/>
      <c r="F155" s="390"/>
      <c r="G155" s="390"/>
      <c r="H155" s="390"/>
      <c r="I155" s="390"/>
      <c r="J155" s="390"/>
      <c r="K155" s="390"/>
      <c r="L155" s="390"/>
      <c r="M155" s="393"/>
      <c r="N155" s="393"/>
      <c r="O155" s="393"/>
      <c r="P155" s="394"/>
    </row>
    <row r="156" spans="1:16" ht="15.6" x14ac:dyDescent="0.3">
      <c r="A156" s="182" t="s">
        <v>107</v>
      </c>
      <c r="B156" s="160">
        <f>$V$8</f>
        <v>30</v>
      </c>
      <c r="C156" s="161">
        <f>$W$8</f>
        <v>70</v>
      </c>
      <c r="D156" s="161">
        <f>B156*C156^3/12</f>
        <v>857500</v>
      </c>
      <c r="E156" s="161">
        <f>'Carichi unitari'!$M$4</f>
        <v>3.2</v>
      </c>
      <c r="F156" s="162">
        <f>D156/(100*E156)</f>
        <v>2679.6875</v>
      </c>
      <c r="G156" s="161"/>
      <c r="H156" s="234">
        <f>12*'Carichi unitari'!$M$9*F156/E156^2/1000000/(1+0.5*(F156/G157+F156/G158))</f>
        <v>4.415933305399605</v>
      </c>
      <c r="I156" s="160">
        <f>'Carichi unitari'!$M$4</f>
        <v>3.2</v>
      </c>
      <c r="J156" s="162">
        <f>D156/(100*I156)</f>
        <v>2679.6875</v>
      </c>
      <c r="K156" s="161"/>
      <c r="L156" s="163">
        <f>12*'Carichi unitari'!$M$9*J156/I156^2/1000000/(1+0.5*(J156/K157+J156/K158))</f>
        <v>3.9266287376273867</v>
      </c>
      <c r="M156" s="190">
        <v>0</v>
      </c>
      <c r="N156" s="164"/>
      <c r="O156" s="165">
        <v>0</v>
      </c>
      <c r="P156" s="163"/>
    </row>
    <row r="157" spans="1:16" ht="15.6" x14ac:dyDescent="0.3">
      <c r="A157" s="183" t="s">
        <v>108</v>
      </c>
      <c r="B157" s="166">
        <f>$T$12</f>
        <v>100</v>
      </c>
      <c r="C157" s="54">
        <f>$U$12</f>
        <v>24</v>
      </c>
      <c r="D157" s="54">
        <f t="shared" ref="D157:D161" si="59">B157*C157^3/12</f>
        <v>115200</v>
      </c>
      <c r="E157" s="90">
        <v>4.5999999999999996</v>
      </c>
      <c r="F157" s="167">
        <f t="shared" ref="F157:F161" si="60">D157/(100*E157)</f>
        <v>250.43478260869568</v>
      </c>
      <c r="G157" s="167">
        <f>(F157)/2</f>
        <v>125.21739130434784</v>
      </c>
      <c r="H157" s="205"/>
      <c r="I157" s="179">
        <v>5.2</v>
      </c>
      <c r="J157" s="167">
        <f t="shared" ref="J157:J161" si="61">D157/(100*I157)</f>
        <v>221.53846153846155</v>
      </c>
      <c r="K157" s="167">
        <f>(J157)/2</f>
        <v>110.76923076923077</v>
      </c>
      <c r="L157" s="243">
        <f>L156/$L$135</f>
        <v>0.10420130423920816</v>
      </c>
      <c r="M157" s="191"/>
      <c r="N157" s="149"/>
      <c r="O157" s="169"/>
      <c r="P157" s="168"/>
    </row>
    <row r="158" spans="1:16" ht="16.2" thickBot="1" x14ac:dyDescent="0.35">
      <c r="A158" s="184" t="s">
        <v>109</v>
      </c>
      <c r="B158" s="175">
        <f>$T$12</f>
        <v>100</v>
      </c>
      <c r="C158" s="52">
        <f>$U$12</f>
        <v>24</v>
      </c>
      <c r="D158" s="52">
        <f t="shared" si="59"/>
        <v>115200</v>
      </c>
      <c r="E158" s="176">
        <v>4.5999999999999996</v>
      </c>
      <c r="F158" s="177">
        <f t="shared" si="60"/>
        <v>250.43478260869568</v>
      </c>
      <c r="G158" s="177">
        <f>(F158)/2</f>
        <v>125.21739130434784</v>
      </c>
      <c r="H158" s="206"/>
      <c r="I158" s="236">
        <v>5.2</v>
      </c>
      <c r="J158" s="172">
        <f t="shared" si="61"/>
        <v>221.53846153846155</v>
      </c>
      <c r="K158" s="172">
        <f>(J158)/2</f>
        <v>110.76923076923077</v>
      </c>
      <c r="L158" s="173"/>
      <c r="M158" s="197"/>
      <c r="N158" s="150"/>
      <c r="O158" s="181"/>
      <c r="P158" s="178"/>
    </row>
    <row r="159" spans="1:16" ht="15.6" x14ac:dyDescent="0.3">
      <c r="A159" s="155" t="s">
        <v>107</v>
      </c>
      <c r="B159" s="160">
        <f>$W$8</f>
        <v>70</v>
      </c>
      <c r="C159" s="161">
        <f>$V$8</f>
        <v>30</v>
      </c>
      <c r="D159" s="194">
        <f t="shared" si="59"/>
        <v>157500</v>
      </c>
      <c r="E159" s="194">
        <f>'Carichi unitari'!$M$4</f>
        <v>3.2</v>
      </c>
      <c r="F159" s="195">
        <f t="shared" si="60"/>
        <v>492.1875</v>
      </c>
      <c r="G159" s="195"/>
      <c r="H159" s="241">
        <f>12*'Carichi unitari'!$M$9*F159/E159^2/1000000/(1+0.5*(F159/G160+F159/G161))</f>
        <v>3.6848262032085555</v>
      </c>
      <c r="I159" s="160">
        <f>'Carichi unitari'!$M$4</f>
        <v>3.2</v>
      </c>
      <c r="J159" s="162">
        <f t="shared" si="61"/>
        <v>492.1875</v>
      </c>
      <c r="K159" s="162"/>
      <c r="L159" s="163">
        <f>12*'Carichi unitari'!$M$9*J159/I159^2/1000000/(1+0.5*(J159/K160+J159/K161))</f>
        <v>3.3377623789020445</v>
      </c>
      <c r="M159" s="190">
        <v>2</v>
      </c>
      <c r="N159" s="164"/>
      <c r="O159" s="165">
        <v>0</v>
      </c>
      <c r="P159" s="163"/>
    </row>
    <row r="160" spans="1:16" ht="15.6" x14ac:dyDescent="0.3">
      <c r="A160" s="156" t="s">
        <v>108</v>
      </c>
      <c r="B160" s="166">
        <f>$T$12</f>
        <v>100</v>
      </c>
      <c r="C160" s="54">
        <f>$U$12</f>
        <v>24</v>
      </c>
      <c r="D160" s="54">
        <f t="shared" si="59"/>
        <v>115200</v>
      </c>
      <c r="E160" s="90">
        <v>4.5999999999999996</v>
      </c>
      <c r="F160" s="167">
        <f t="shared" si="60"/>
        <v>250.43478260869568</v>
      </c>
      <c r="G160" s="167">
        <f>(F160)/2</f>
        <v>125.21739130434784</v>
      </c>
      <c r="H160" s="205"/>
      <c r="I160" s="179">
        <v>5.2</v>
      </c>
      <c r="J160" s="167">
        <f t="shared" si="61"/>
        <v>221.53846153846155</v>
      </c>
      <c r="K160" s="167">
        <f>(J160)/2</f>
        <v>110.76923076923077</v>
      </c>
      <c r="L160" s="243">
        <f>L159/$L$135</f>
        <v>8.857450407504229E-2</v>
      </c>
      <c r="M160" s="191"/>
      <c r="N160" s="149"/>
      <c r="O160" s="166"/>
      <c r="P160" s="168"/>
    </row>
    <row r="161" spans="1:16" ht="16.2" thickBot="1" x14ac:dyDescent="0.35">
      <c r="A161" s="157" t="s">
        <v>109</v>
      </c>
      <c r="B161" s="166">
        <f>$T$12</f>
        <v>100</v>
      </c>
      <c r="C161" s="54">
        <f>$U$12</f>
        <v>24</v>
      </c>
      <c r="D161" s="52">
        <f t="shared" si="59"/>
        <v>115200</v>
      </c>
      <c r="E161" s="176">
        <v>4.5999999999999996</v>
      </c>
      <c r="F161" s="177">
        <f t="shared" si="60"/>
        <v>250.43478260869568</v>
      </c>
      <c r="G161" s="177">
        <f>(F161)/2</f>
        <v>125.21739130434784</v>
      </c>
      <c r="H161" s="206"/>
      <c r="I161" s="180">
        <v>5.2</v>
      </c>
      <c r="J161" s="177">
        <f t="shared" si="61"/>
        <v>221.53846153846155</v>
      </c>
      <c r="K161" s="177">
        <f>(J161)/2</f>
        <v>110.76923076923077</v>
      </c>
      <c r="L161" s="178"/>
      <c r="M161" s="197"/>
      <c r="N161" s="150"/>
      <c r="O161" s="175"/>
      <c r="P161" s="178"/>
    </row>
    <row r="162" spans="1:16" ht="16.2" thickBot="1" x14ac:dyDescent="0.35">
      <c r="B162" s="395" t="s">
        <v>149</v>
      </c>
      <c r="C162" s="396"/>
      <c r="D162" s="396"/>
      <c r="E162" s="396"/>
      <c r="F162" s="396"/>
      <c r="G162" s="396"/>
      <c r="H162" s="396"/>
      <c r="I162" s="390"/>
      <c r="J162" s="390"/>
      <c r="K162" s="390"/>
      <c r="L162" s="390"/>
      <c r="M162" s="396"/>
      <c r="N162" s="396"/>
      <c r="O162" s="396"/>
      <c r="P162" s="397"/>
    </row>
    <row r="163" spans="1:16" ht="15.6" x14ac:dyDescent="0.3">
      <c r="A163" s="182" t="s">
        <v>107</v>
      </c>
      <c r="B163" s="160">
        <f>$V$8</f>
        <v>30</v>
      </c>
      <c r="C163" s="161">
        <f>$W$8</f>
        <v>70</v>
      </c>
      <c r="D163" s="161">
        <f>B163*C163^3/12</f>
        <v>857500</v>
      </c>
      <c r="E163" s="161">
        <f>'Carichi unitari'!$M$4</f>
        <v>3.2</v>
      </c>
      <c r="F163" s="162">
        <f>D163/(100*E163)</f>
        <v>2679.6875</v>
      </c>
      <c r="G163" s="161"/>
      <c r="H163" s="234">
        <f>12*'Carichi unitari'!$M$9*F163/E163^2/1000000/(1+0.5*(F163/G164+F163/G166))</f>
        <v>27.986427131900903</v>
      </c>
      <c r="I163" s="160">
        <f>'Carichi unitari'!$M$4</f>
        <v>3.2</v>
      </c>
      <c r="J163" s="162">
        <f>D163/(100*I163)</f>
        <v>2679.6875</v>
      </c>
      <c r="K163" s="161"/>
      <c r="L163" s="163">
        <f>12*'Carichi unitari'!$M$9*J163/I163^2/1000000/(1+0.5*(J163/K164+J163/K166))</f>
        <v>25.592702981005679</v>
      </c>
      <c r="M163" s="190">
        <v>0</v>
      </c>
      <c r="N163" s="164"/>
      <c r="O163" s="165">
        <v>1</v>
      </c>
      <c r="P163" s="163"/>
    </row>
    <row r="164" spans="1:16" ht="15.6" x14ac:dyDescent="0.3">
      <c r="A164" s="183" t="s">
        <v>108</v>
      </c>
      <c r="B164" s="166">
        <f>$T$12</f>
        <v>100</v>
      </c>
      <c r="C164" s="54">
        <f>$U$12</f>
        <v>24</v>
      </c>
      <c r="D164" s="54">
        <f t="shared" ref="D164:D172" si="62">B164*C164^3/12</f>
        <v>115200</v>
      </c>
      <c r="E164" s="90">
        <v>4.5999999999999996</v>
      </c>
      <c r="F164" s="167">
        <f t="shared" ref="F164:F172" si="63">D164/(100*E164)</f>
        <v>250.43478260869568</v>
      </c>
      <c r="G164" s="167">
        <f>(F164+F165)/2</f>
        <v>1057.2826086956522</v>
      </c>
      <c r="H164" s="205"/>
      <c r="I164" s="179">
        <v>5.2</v>
      </c>
      <c r="J164" s="167">
        <f t="shared" ref="J164:J172" si="64">D164/(100*I164)</f>
        <v>221.53846153846155</v>
      </c>
      <c r="K164" s="167">
        <f>(J164+J165)/2</f>
        <v>935.28846153846143</v>
      </c>
      <c r="L164" s="243">
        <f>L163/$L$135</f>
        <v>0.67915588863102871</v>
      </c>
      <c r="M164" s="191"/>
      <c r="N164" s="149"/>
      <c r="O164" s="169"/>
      <c r="P164" s="168"/>
    </row>
    <row r="165" spans="1:16" ht="15.6" x14ac:dyDescent="0.3">
      <c r="A165" s="184"/>
      <c r="B165" s="166">
        <f>$T$8</f>
        <v>30</v>
      </c>
      <c r="C165" s="54">
        <f>$U$8</f>
        <v>70</v>
      </c>
      <c r="D165" s="54">
        <f t="shared" si="62"/>
        <v>857500</v>
      </c>
      <c r="E165" s="90">
        <v>4.5999999999999996</v>
      </c>
      <c r="F165" s="167">
        <f t="shared" si="63"/>
        <v>1864.130434782609</v>
      </c>
      <c r="G165" s="167"/>
      <c r="H165" s="205"/>
      <c r="I165" s="179">
        <v>5.2</v>
      </c>
      <c r="J165" s="167">
        <f t="shared" si="64"/>
        <v>1649.0384615384614</v>
      </c>
      <c r="K165" s="167"/>
      <c r="L165" s="168"/>
      <c r="M165" s="191"/>
      <c r="N165" s="149"/>
      <c r="O165" s="169"/>
      <c r="P165" s="168"/>
    </row>
    <row r="166" spans="1:16" ht="15.6" x14ac:dyDescent="0.3">
      <c r="A166" s="184" t="s">
        <v>109</v>
      </c>
      <c r="B166" s="166">
        <f>$T$12</f>
        <v>100</v>
      </c>
      <c r="C166" s="54">
        <f>$U$12</f>
        <v>24</v>
      </c>
      <c r="D166" s="54">
        <f t="shared" si="62"/>
        <v>115200</v>
      </c>
      <c r="E166" s="90">
        <v>4.5999999999999996</v>
      </c>
      <c r="F166" s="167">
        <f t="shared" si="63"/>
        <v>250.43478260869568</v>
      </c>
      <c r="G166" s="167">
        <f>(F166+F167)/2</f>
        <v>1057.2826086956522</v>
      </c>
      <c r="H166" s="205"/>
      <c r="I166" s="179">
        <v>5.2</v>
      </c>
      <c r="J166" s="167">
        <f t="shared" si="64"/>
        <v>221.53846153846155</v>
      </c>
      <c r="K166" s="167">
        <f>(J166+J167)/2</f>
        <v>935.28846153846143</v>
      </c>
      <c r="L166" s="168"/>
      <c r="M166" s="191"/>
      <c r="N166" s="149"/>
      <c r="O166" s="169"/>
      <c r="P166" s="168"/>
    </row>
    <row r="167" spans="1:16" ht="16.2" thickBot="1" x14ac:dyDescent="0.35">
      <c r="A167" s="185"/>
      <c r="B167" s="170">
        <f>$T$9</f>
        <v>30</v>
      </c>
      <c r="C167" s="171">
        <f>$U$9</f>
        <v>70</v>
      </c>
      <c r="D167" s="171">
        <f t="shared" si="62"/>
        <v>857500</v>
      </c>
      <c r="E167" s="144">
        <v>4.5999999999999996</v>
      </c>
      <c r="F167" s="172">
        <f t="shared" si="63"/>
        <v>1864.130434782609</v>
      </c>
      <c r="G167" s="172"/>
      <c r="H167" s="235"/>
      <c r="I167" s="236">
        <v>5.2</v>
      </c>
      <c r="J167" s="172">
        <f t="shared" si="64"/>
        <v>1649.0384615384614</v>
      </c>
      <c r="K167" s="172"/>
      <c r="L167" s="173"/>
      <c r="M167" s="197"/>
      <c r="N167" s="150"/>
      <c r="O167" s="181"/>
      <c r="P167" s="178"/>
    </row>
    <row r="168" spans="1:16" ht="15.6" x14ac:dyDescent="0.3">
      <c r="A168" s="182" t="s">
        <v>107</v>
      </c>
      <c r="B168" s="160">
        <f>$W$8</f>
        <v>70</v>
      </c>
      <c r="C168" s="161">
        <f>$V$8</f>
        <v>30</v>
      </c>
      <c r="D168" s="161">
        <f t="shared" si="62"/>
        <v>157500</v>
      </c>
      <c r="E168" s="161">
        <f>'Carichi unitari'!$M$4</f>
        <v>3.2</v>
      </c>
      <c r="F168" s="162">
        <f t="shared" si="63"/>
        <v>492.1875</v>
      </c>
      <c r="G168" s="162"/>
      <c r="H168" s="234">
        <f>12*'Carichi unitari'!$M$9*F168/E168^2/1000000/(1+0.5*(F168/G169+F168/G171))</f>
        <v>12.39739129680471</v>
      </c>
      <c r="I168" s="160">
        <f>'Carichi unitari'!$M$4</f>
        <v>3.2</v>
      </c>
      <c r="J168" s="162">
        <f t="shared" si="64"/>
        <v>492.1875</v>
      </c>
      <c r="K168" s="162"/>
      <c r="L168" s="163">
        <f>12*'Carichi unitari'!$M$9*J168/I168^2/1000000/(1+0.5*(J168/K169+J168/K171))</f>
        <v>11.904172076847802</v>
      </c>
      <c r="M168" s="190">
        <v>4</v>
      </c>
      <c r="N168" s="164"/>
      <c r="O168" s="165">
        <v>1</v>
      </c>
      <c r="P168" s="163"/>
    </row>
    <row r="169" spans="1:16" ht="15.6" x14ac:dyDescent="0.3">
      <c r="A169" s="183" t="s">
        <v>108</v>
      </c>
      <c r="B169" s="166">
        <f>$T$12</f>
        <v>100</v>
      </c>
      <c r="C169" s="54">
        <f>$U$12</f>
        <v>24</v>
      </c>
      <c r="D169" s="54">
        <f t="shared" si="62"/>
        <v>115200</v>
      </c>
      <c r="E169" s="90">
        <v>4.5999999999999996</v>
      </c>
      <c r="F169" s="167">
        <f t="shared" si="63"/>
        <v>250.43478260869568</v>
      </c>
      <c r="G169" s="167">
        <f>(F169+F170)/2</f>
        <v>1057.2826086956522</v>
      </c>
      <c r="H169" s="205"/>
      <c r="I169" s="179">
        <v>5.2</v>
      </c>
      <c r="J169" s="167">
        <f t="shared" si="64"/>
        <v>221.53846153846155</v>
      </c>
      <c r="K169" s="167">
        <f>(J169+J170)/2</f>
        <v>935.28846153846143</v>
      </c>
      <c r="L169" s="243">
        <f>L168/$L$135</f>
        <v>0.31590209800303598</v>
      </c>
      <c r="M169" s="191"/>
      <c r="N169" s="149"/>
      <c r="O169" s="166"/>
      <c r="P169" s="168"/>
    </row>
    <row r="170" spans="1:16" x14ac:dyDescent="0.3">
      <c r="B170" s="166">
        <f>$T$8</f>
        <v>30</v>
      </c>
      <c r="C170" s="54">
        <f>$U$8</f>
        <v>70</v>
      </c>
      <c r="D170" s="54">
        <f t="shared" si="62"/>
        <v>857500</v>
      </c>
      <c r="E170" s="90">
        <v>4.5999999999999996</v>
      </c>
      <c r="F170" s="167">
        <f t="shared" si="63"/>
        <v>1864.130434782609</v>
      </c>
      <c r="G170" s="88"/>
      <c r="H170" s="239"/>
      <c r="I170" s="179">
        <v>5.2</v>
      </c>
      <c r="J170" s="167">
        <f t="shared" si="64"/>
        <v>1649.0384615384614</v>
      </c>
      <c r="K170" s="88"/>
      <c r="L170" s="108"/>
      <c r="M170" s="198"/>
      <c r="N170" s="108"/>
      <c r="O170" s="188"/>
      <c r="P170" s="108"/>
    </row>
    <row r="171" spans="1:16" ht="16.2" thickBot="1" x14ac:dyDescent="0.35">
      <c r="A171" s="186" t="s">
        <v>109</v>
      </c>
      <c r="B171" s="166">
        <f>$T$12</f>
        <v>100</v>
      </c>
      <c r="C171" s="54">
        <f>$U$12</f>
        <v>24</v>
      </c>
      <c r="D171" s="54">
        <f t="shared" si="62"/>
        <v>115200</v>
      </c>
      <c r="E171" s="90">
        <v>4.5999999999999996</v>
      </c>
      <c r="F171" s="167">
        <f t="shared" si="63"/>
        <v>250.43478260869568</v>
      </c>
      <c r="G171" s="167">
        <f>(F171+F172)/2</f>
        <v>1057.2826086956522</v>
      </c>
      <c r="H171" s="205"/>
      <c r="I171" s="179">
        <v>5.2</v>
      </c>
      <c r="J171" s="167">
        <f t="shared" si="64"/>
        <v>221.53846153846155</v>
      </c>
      <c r="K171" s="167">
        <f>(J171+J172)/2</f>
        <v>935.28846153846143</v>
      </c>
      <c r="L171" s="168"/>
      <c r="M171" s="191"/>
      <c r="N171" s="149"/>
      <c r="O171" s="166"/>
      <c r="P171" s="168"/>
    </row>
    <row r="172" spans="1:16" ht="15" thickBot="1" x14ac:dyDescent="0.35">
      <c r="B172" s="175">
        <f>$T$9</f>
        <v>30</v>
      </c>
      <c r="C172" s="52">
        <f>$U$9</f>
        <v>70</v>
      </c>
      <c r="D172" s="52">
        <f t="shared" si="62"/>
        <v>857500</v>
      </c>
      <c r="E172" s="176">
        <v>4.5999999999999996</v>
      </c>
      <c r="F172" s="177">
        <f t="shared" si="63"/>
        <v>1864.130434782609</v>
      </c>
      <c r="G172" s="39"/>
      <c r="H172" s="240"/>
      <c r="I172" s="180">
        <v>5.2</v>
      </c>
      <c r="J172" s="177">
        <f t="shared" si="64"/>
        <v>1649.0384615384614</v>
      </c>
      <c r="K172" s="39"/>
      <c r="L172" s="187"/>
      <c r="M172" s="199"/>
      <c r="N172" s="187"/>
      <c r="O172" s="189"/>
      <c r="P172" s="187"/>
    </row>
    <row r="174" spans="1:16" ht="15" thickBot="1" x14ac:dyDescent="0.35"/>
    <row r="175" spans="1:16" ht="16.2" thickBot="1" x14ac:dyDescent="0.35">
      <c r="A175" s="1"/>
      <c r="B175" s="404" t="s">
        <v>136</v>
      </c>
      <c r="C175" s="405"/>
      <c r="D175" s="405"/>
      <c r="E175" s="405"/>
      <c r="F175" s="405"/>
      <c r="G175" s="405"/>
      <c r="H175" s="406"/>
      <c r="I175" s="207"/>
      <c r="J175" s="207"/>
      <c r="K175" s="207"/>
      <c r="L175" s="207"/>
      <c r="M175" s="398" t="s">
        <v>113</v>
      </c>
      <c r="N175" s="399"/>
      <c r="O175" s="398" t="s">
        <v>138</v>
      </c>
      <c r="P175" s="399"/>
    </row>
    <row r="176" spans="1:16" ht="19.2" thickBot="1" x14ac:dyDescent="0.35">
      <c r="B176" s="151" t="s">
        <v>110</v>
      </c>
      <c r="C176" s="152" t="s">
        <v>111</v>
      </c>
      <c r="D176" s="152" t="s">
        <v>129</v>
      </c>
      <c r="E176" s="152" t="s">
        <v>114</v>
      </c>
      <c r="F176" s="152" t="s">
        <v>140</v>
      </c>
      <c r="G176" s="152"/>
      <c r="H176" s="153" t="s">
        <v>128</v>
      </c>
      <c r="I176" s="152" t="s">
        <v>114</v>
      </c>
      <c r="J176" s="152" t="s">
        <v>140</v>
      </c>
      <c r="K176" s="152"/>
      <c r="L176" s="153" t="s">
        <v>128</v>
      </c>
      <c r="M176" s="151" t="s">
        <v>112</v>
      </c>
      <c r="N176" s="154" t="s">
        <v>146</v>
      </c>
      <c r="O176" s="151" t="s">
        <v>112</v>
      </c>
      <c r="P176" s="154" t="s">
        <v>146</v>
      </c>
    </row>
    <row r="177" spans="1:16" ht="16.2" thickBot="1" x14ac:dyDescent="0.35">
      <c r="B177" s="395" t="s">
        <v>139</v>
      </c>
      <c r="C177" s="396"/>
      <c r="D177" s="396"/>
      <c r="E177" s="396"/>
      <c r="F177" s="396"/>
      <c r="G177" s="396"/>
      <c r="H177" s="396"/>
      <c r="I177" s="396"/>
      <c r="J177" s="396"/>
      <c r="K177" s="396"/>
      <c r="L177" s="396"/>
      <c r="M177" s="393"/>
      <c r="N177" s="393"/>
      <c r="O177" s="393"/>
      <c r="P177" s="394"/>
    </row>
    <row r="178" spans="1:16" ht="15.6" x14ac:dyDescent="0.3">
      <c r="A178" s="182" t="s">
        <v>107</v>
      </c>
      <c r="B178" s="160">
        <f>$V$9</f>
        <v>30</v>
      </c>
      <c r="C178" s="161">
        <f>$W$9</f>
        <v>80</v>
      </c>
      <c r="D178" s="161">
        <f>B178*C178^3/12</f>
        <v>1280000</v>
      </c>
      <c r="E178" s="161">
        <f>'Carichi unitari'!$M$4</f>
        <v>3.2</v>
      </c>
      <c r="F178" s="162">
        <f>D178/(100*E178)</f>
        <v>4000</v>
      </c>
      <c r="G178" s="161"/>
      <c r="H178" s="234">
        <f>12*'Carichi unitari'!$M$9*F178/E178^2/1000000/(1+0.5*(F178/G179+F178/G180))</f>
        <v>52.892366437126718</v>
      </c>
      <c r="I178" s="160">
        <f>'Carichi unitari'!$M$4</f>
        <v>3.2</v>
      </c>
      <c r="J178" s="162">
        <f>D178/(100*I178)</f>
        <v>4000</v>
      </c>
      <c r="K178" s="161"/>
      <c r="L178" s="163">
        <f>12*'Carichi unitari'!$M$9*J178/I178^2/1000000/(1+0.5*(J178/K179+J178/K180))</f>
        <v>48.806691561765938</v>
      </c>
      <c r="M178" s="190">
        <v>7</v>
      </c>
      <c r="N178" s="163">
        <f>H178*M178+H181*M181+H185*M185+H188*M188+H192*M192+H195*M195+H199*M199+H202*M202+H206*M206+H211*M211</f>
        <v>687.62417976391532</v>
      </c>
      <c r="O178" s="165">
        <v>9</v>
      </c>
      <c r="P178" s="163">
        <f>L178*O178+L181*O181+L188*O188+L192*O192+L195*O195+L199*O199+L202*O202+L206*O206+L185*O185+L211*O211</f>
        <v>659.81103476688793</v>
      </c>
    </row>
    <row r="179" spans="1:16" ht="15.6" x14ac:dyDescent="0.3">
      <c r="A179" s="183" t="s">
        <v>108</v>
      </c>
      <c r="B179" s="166">
        <f>$T$9</f>
        <v>30</v>
      </c>
      <c r="C179" s="54">
        <f>$U$9</f>
        <v>70</v>
      </c>
      <c r="D179" s="54">
        <f t="shared" ref="D179:D183" si="65">B179*C179^3/12</f>
        <v>857500</v>
      </c>
      <c r="E179" s="90">
        <v>4.5999999999999996</v>
      </c>
      <c r="F179" s="167">
        <f t="shared" ref="F179:F183" si="66">D179/(100*E179)</f>
        <v>1864.130434782609</v>
      </c>
      <c r="G179" s="167">
        <f>(F179+F179)/2</f>
        <v>1864.130434782609</v>
      </c>
      <c r="H179" s="205"/>
      <c r="I179" s="179">
        <v>5.2</v>
      </c>
      <c r="J179" s="167">
        <f t="shared" ref="J179:J183" si="67">D179/(100*I179)</f>
        <v>1649.0384615384614</v>
      </c>
      <c r="K179" s="167">
        <f>(J179+J179)/2</f>
        <v>1649.0384615384614</v>
      </c>
      <c r="L179" s="242">
        <f>L178/L178</f>
        <v>1</v>
      </c>
      <c r="M179" s="191"/>
      <c r="N179" s="243">
        <f>N178/H178</f>
        <v>13.000442711923201</v>
      </c>
      <c r="O179" s="169"/>
      <c r="P179" s="243">
        <f>P178/L178</f>
        <v>13.518864189593401</v>
      </c>
    </row>
    <row r="180" spans="1:16" ht="16.2" thickBot="1" x14ac:dyDescent="0.35">
      <c r="A180" s="184" t="s">
        <v>109</v>
      </c>
      <c r="B180" s="175">
        <f>$T$10</f>
        <v>30</v>
      </c>
      <c r="C180" s="52">
        <f>$U$10</f>
        <v>80</v>
      </c>
      <c r="D180" s="52">
        <f t="shared" si="65"/>
        <v>1280000</v>
      </c>
      <c r="E180" s="176">
        <v>4.5999999999999996</v>
      </c>
      <c r="F180" s="177">
        <f t="shared" si="66"/>
        <v>2782.6086956521744</v>
      </c>
      <c r="G180" s="177">
        <f>(F180+F180)/2</f>
        <v>2782.6086956521744</v>
      </c>
      <c r="H180" s="206"/>
      <c r="I180" s="236">
        <v>5.2</v>
      </c>
      <c r="J180" s="172">
        <f t="shared" si="67"/>
        <v>2461.5384615384614</v>
      </c>
      <c r="K180" s="172">
        <f>(J180+J180)/2</f>
        <v>2461.5384615384614</v>
      </c>
      <c r="L180" s="173"/>
      <c r="M180" s="192"/>
      <c r="N180" s="159"/>
      <c r="O180" s="174"/>
      <c r="P180" s="173"/>
    </row>
    <row r="181" spans="1:16" ht="15.6" x14ac:dyDescent="0.3">
      <c r="A181" s="182" t="s">
        <v>107</v>
      </c>
      <c r="B181" s="160">
        <f>$W$9</f>
        <v>80</v>
      </c>
      <c r="C181" s="161">
        <f>$V$9</f>
        <v>30</v>
      </c>
      <c r="D181" s="161">
        <f t="shared" si="65"/>
        <v>180000</v>
      </c>
      <c r="E181" s="161">
        <f>'Carichi unitari'!$M$4</f>
        <v>3.2</v>
      </c>
      <c r="F181" s="162">
        <f t="shared" si="66"/>
        <v>562.5</v>
      </c>
      <c r="G181" s="162"/>
      <c r="H181" s="234">
        <f>12*'Carichi unitari'!$M$9*F181/E181^2/1000000/(1+0.5*(F181/G182+F181/G183))</f>
        <v>16.58546999314343</v>
      </c>
      <c r="I181" s="160">
        <f>'Carichi unitari'!$M$4</f>
        <v>3.2</v>
      </c>
      <c r="J181" s="162">
        <f t="shared" si="67"/>
        <v>562.5</v>
      </c>
      <c r="K181" s="162"/>
      <c r="L181" s="163">
        <f>12*'Carichi unitari'!$M$9*J181/I181^2/1000000/(1+0.5*(J181/K182+J181/K183))</f>
        <v>16.161247110912164</v>
      </c>
      <c r="M181" s="190">
        <v>1</v>
      </c>
      <c r="N181" s="164"/>
      <c r="O181" s="165">
        <v>1</v>
      </c>
      <c r="P181" s="163"/>
    </row>
    <row r="182" spans="1:16" ht="15.6" x14ac:dyDescent="0.3">
      <c r="A182" s="183" t="s">
        <v>108</v>
      </c>
      <c r="B182" s="166">
        <f>$T$9</f>
        <v>30</v>
      </c>
      <c r="C182" s="54">
        <f>$U$9</f>
        <v>70</v>
      </c>
      <c r="D182" s="54">
        <f t="shared" si="65"/>
        <v>857500</v>
      </c>
      <c r="E182" s="90">
        <v>4.5999999999999996</v>
      </c>
      <c r="F182" s="167">
        <f t="shared" si="66"/>
        <v>1864.130434782609</v>
      </c>
      <c r="G182" s="167">
        <f>(F182+F182)/2</f>
        <v>1864.130434782609</v>
      </c>
      <c r="H182" s="205"/>
      <c r="I182" s="179">
        <v>5.2</v>
      </c>
      <c r="J182" s="167">
        <f t="shared" si="67"/>
        <v>1649.0384615384614</v>
      </c>
      <c r="K182" s="167">
        <f>(J182+J182)/2</f>
        <v>1649.0384615384614</v>
      </c>
      <c r="L182" s="243">
        <f>L181/$L$178</f>
        <v>0.33112769158835015</v>
      </c>
      <c r="M182" s="191"/>
      <c r="N182" s="149"/>
      <c r="O182" s="166"/>
      <c r="P182" s="168"/>
    </row>
    <row r="183" spans="1:16" ht="16.2" thickBot="1" x14ac:dyDescent="0.35">
      <c r="A183" s="186" t="s">
        <v>109</v>
      </c>
      <c r="B183" s="175">
        <f>$T$10</f>
        <v>30</v>
      </c>
      <c r="C183" s="52">
        <f>$U$10</f>
        <v>80</v>
      </c>
      <c r="D183" s="52">
        <f t="shared" si="65"/>
        <v>1280000</v>
      </c>
      <c r="E183" s="176">
        <v>4.5999999999999996</v>
      </c>
      <c r="F183" s="177">
        <f t="shared" si="66"/>
        <v>2782.6086956521744</v>
      </c>
      <c r="G183" s="177">
        <f>(F183+F183)/2</f>
        <v>2782.6086956521744</v>
      </c>
      <c r="H183" s="206"/>
      <c r="I183" s="180">
        <v>5.2</v>
      </c>
      <c r="J183" s="177">
        <f t="shared" si="67"/>
        <v>2461.5384615384614</v>
      </c>
      <c r="K183" s="177">
        <f>(J183+J183)/2</f>
        <v>2461.5384615384614</v>
      </c>
      <c r="L183" s="178"/>
      <c r="M183" s="197"/>
      <c r="N183" s="150"/>
      <c r="O183" s="175"/>
      <c r="P183" s="178"/>
    </row>
    <row r="184" spans="1:16" ht="16.2" thickBot="1" x14ac:dyDescent="0.35">
      <c r="B184" s="408" t="s">
        <v>144</v>
      </c>
      <c r="C184" s="402"/>
      <c r="D184" s="402"/>
      <c r="E184" s="402"/>
      <c r="F184" s="402"/>
      <c r="G184" s="402"/>
      <c r="H184" s="402"/>
      <c r="I184" s="402"/>
      <c r="J184" s="402"/>
      <c r="K184" s="402"/>
      <c r="L184" s="402"/>
      <c r="M184" s="401"/>
      <c r="N184" s="401"/>
      <c r="O184" s="401"/>
      <c r="P184" s="403"/>
    </row>
    <row r="185" spans="1:16" ht="15.6" x14ac:dyDescent="0.3">
      <c r="A185" s="182" t="s">
        <v>107</v>
      </c>
      <c r="B185" s="160">
        <f>$V$9</f>
        <v>30</v>
      </c>
      <c r="C185" s="161">
        <f>$W$9</f>
        <v>80</v>
      </c>
      <c r="D185" s="161">
        <f>B185*C185^3/12</f>
        <v>1280000</v>
      </c>
      <c r="E185" s="161">
        <f>'Carichi unitari'!$M$4</f>
        <v>3.2</v>
      </c>
      <c r="F185" s="162">
        <f>D185/(100*E185)</f>
        <v>4000</v>
      </c>
      <c r="G185" s="161"/>
      <c r="H185" s="234">
        <f>12*'Carichi unitari'!$M$9*F185/E185^2/1000000/(1+0.5*(F185/G186+F185/G187))</f>
        <v>8.6998772504091644</v>
      </c>
      <c r="I185" s="160">
        <f>'Carichi unitari'!$M$4</f>
        <v>3.2</v>
      </c>
      <c r="J185" s="162">
        <f>D185/(100*I185)</f>
        <v>4000</v>
      </c>
      <c r="K185" s="161"/>
      <c r="L185" s="163">
        <f>12*'Carichi unitari'!$M$9*J185/I185^2/1000000/(1+0.5*(J185/K186+J185/K187))</f>
        <v>7.7487244897959178</v>
      </c>
      <c r="M185" s="190">
        <v>1</v>
      </c>
      <c r="N185" s="163"/>
      <c r="O185" s="165">
        <v>0</v>
      </c>
      <c r="P185" s="163"/>
    </row>
    <row r="186" spans="1:16" ht="15.6" x14ac:dyDescent="0.3">
      <c r="A186" s="183" t="s">
        <v>108</v>
      </c>
      <c r="B186" s="166">
        <f>$T$12</f>
        <v>100</v>
      </c>
      <c r="C186" s="54">
        <f>$U$12</f>
        <v>24</v>
      </c>
      <c r="D186" s="54">
        <f t="shared" ref="D186:D187" si="68">B186*C186^3/12</f>
        <v>115200</v>
      </c>
      <c r="E186" s="90">
        <v>4.5999999999999996</v>
      </c>
      <c r="F186" s="167">
        <f t="shared" ref="F186:F187" si="69">D186/(100*E186)</f>
        <v>250.43478260869568</v>
      </c>
      <c r="G186" s="167">
        <f>(F186+F186)/2</f>
        <v>250.43478260869568</v>
      </c>
      <c r="H186" s="205"/>
      <c r="I186" s="179">
        <v>5.2</v>
      </c>
      <c r="J186" s="167">
        <f t="shared" ref="J186:J190" si="70">D186/(100*I186)</f>
        <v>221.53846153846155</v>
      </c>
      <c r="K186" s="167">
        <f>(J186+J186)/2</f>
        <v>221.53846153846155</v>
      </c>
      <c r="L186" s="243">
        <f>L185/$L$178</f>
        <v>0.15876356790112964</v>
      </c>
      <c r="M186" s="191"/>
      <c r="N186" s="149"/>
      <c r="O186" s="169"/>
      <c r="P186" s="168"/>
    </row>
    <row r="187" spans="1:16" ht="16.2" thickBot="1" x14ac:dyDescent="0.35">
      <c r="A187" s="184" t="s">
        <v>109</v>
      </c>
      <c r="B187" s="175">
        <f>$T$12</f>
        <v>100</v>
      </c>
      <c r="C187" s="52">
        <f>$U$12</f>
        <v>24</v>
      </c>
      <c r="D187" s="52">
        <f t="shared" si="68"/>
        <v>115200</v>
      </c>
      <c r="E187" s="176">
        <v>4.5999999999999996</v>
      </c>
      <c r="F187" s="177">
        <f t="shared" si="69"/>
        <v>250.43478260869568</v>
      </c>
      <c r="G187" s="177">
        <f>(F187+F187)/2</f>
        <v>250.43478260869568</v>
      </c>
      <c r="H187" s="206"/>
      <c r="I187" s="236">
        <v>5.2</v>
      </c>
      <c r="J187" s="172">
        <f t="shared" si="70"/>
        <v>221.53846153846155</v>
      </c>
      <c r="K187" s="172">
        <f>(J187+J187)/2</f>
        <v>221.53846153846155</v>
      </c>
      <c r="L187" s="173"/>
      <c r="M187" s="197"/>
      <c r="N187" s="150"/>
      <c r="O187" s="181"/>
      <c r="P187" s="178"/>
    </row>
    <row r="188" spans="1:16" ht="15.6" x14ac:dyDescent="0.3">
      <c r="A188" s="182" t="s">
        <v>107</v>
      </c>
      <c r="B188" s="160">
        <f>$W$9</f>
        <v>80</v>
      </c>
      <c r="C188" s="161">
        <f>$V$9</f>
        <v>30</v>
      </c>
      <c r="D188" s="161">
        <f>B188*C188^3/12</f>
        <v>180000</v>
      </c>
      <c r="E188" s="161">
        <f>'Carichi unitari'!$M$4</f>
        <v>3.2</v>
      </c>
      <c r="F188" s="161">
        <f>D188/(100*E188)</f>
        <v>562.5</v>
      </c>
      <c r="G188" s="161"/>
      <c r="H188" s="234">
        <f>12*'Carichi unitari'!$M$9*F188/E188^2/1000000/(1+0.5*(F188/G189+F188/G190))</f>
        <v>6.396660649819494</v>
      </c>
      <c r="I188" s="160">
        <f>'Carichi unitari'!$M$4</f>
        <v>3.2</v>
      </c>
      <c r="J188" s="162">
        <f t="shared" si="70"/>
        <v>562.5</v>
      </c>
      <c r="K188" s="161"/>
      <c r="L188" s="163">
        <f>12*'Carichi unitari'!$M$9*J188/I188^2/1000000/(1+0.5*(J188/K189+J188/K190))</f>
        <v>5.8671357615894033</v>
      </c>
      <c r="M188" s="190">
        <v>1</v>
      </c>
      <c r="N188" s="164"/>
      <c r="O188" s="160">
        <v>0</v>
      </c>
      <c r="P188" s="163"/>
    </row>
    <row r="189" spans="1:16" ht="15.6" x14ac:dyDescent="0.3">
      <c r="A189" s="183" t="s">
        <v>108</v>
      </c>
      <c r="B189" s="166">
        <f>$T$12</f>
        <v>100</v>
      </c>
      <c r="C189" s="54">
        <f>$U$12</f>
        <v>24</v>
      </c>
      <c r="D189" s="54">
        <f>B189*C189^3/12</f>
        <v>115200</v>
      </c>
      <c r="E189" s="90">
        <v>4.5999999999999996</v>
      </c>
      <c r="F189" s="54">
        <f>D189/(100*E189)</f>
        <v>250.43478260869568</v>
      </c>
      <c r="G189" s="167">
        <f t="shared" ref="G189:G190" si="71">(F189+F189)/2</f>
        <v>250.43478260869568</v>
      </c>
      <c r="H189" s="205"/>
      <c r="I189" s="179">
        <v>5.2</v>
      </c>
      <c r="J189" s="167">
        <f t="shared" si="70"/>
        <v>221.53846153846155</v>
      </c>
      <c r="K189" s="167">
        <f t="shared" ref="K189:K190" si="72">(J189+J189)/2</f>
        <v>221.53846153846155</v>
      </c>
      <c r="L189" s="243">
        <f>L188/$L$178</f>
        <v>0.12021170814588844</v>
      </c>
      <c r="M189" s="237"/>
      <c r="N189" s="149"/>
      <c r="O189" s="166"/>
      <c r="P189" s="168"/>
    </row>
    <row r="190" spans="1:16" ht="16.2" thickBot="1" x14ac:dyDescent="0.35">
      <c r="A190" s="186" t="s">
        <v>109</v>
      </c>
      <c r="B190" s="175">
        <f>$T$12</f>
        <v>100</v>
      </c>
      <c r="C190" s="52">
        <f>$U$12</f>
        <v>24</v>
      </c>
      <c r="D190" s="52">
        <f>B190*C190^3/12</f>
        <v>115200</v>
      </c>
      <c r="E190" s="176">
        <v>4.5999999999999996</v>
      </c>
      <c r="F190" s="52">
        <f>D190/(100*E190)</f>
        <v>250.43478260869568</v>
      </c>
      <c r="G190" s="177">
        <f t="shared" si="71"/>
        <v>250.43478260869568</v>
      </c>
      <c r="H190" s="206"/>
      <c r="I190" s="180">
        <v>5.2</v>
      </c>
      <c r="J190" s="177">
        <f t="shared" si="70"/>
        <v>221.53846153846155</v>
      </c>
      <c r="K190" s="177">
        <f t="shared" si="72"/>
        <v>221.53846153846155</v>
      </c>
      <c r="L190" s="178"/>
      <c r="M190" s="238"/>
      <c r="N190" s="150"/>
      <c r="O190" s="175"/>
      <c r="P190" s="178"/>
    </row>
    <row r="191" spans="1:16" ht="16.2" thickBot="1" x14ac:dyDescent="0.35">
      <c r="B191" s="407" t="s">
        <v>147</v>
      </c>
      <c r="C191" s="390"/>
      <c r="D191" s="390"/>
      <c r="E191" s="390"/>
      <c r="F191" s="390"/>
      <c r="G191" s="390"/>
      <c r="H191" s="390"/>
      <c r="I191" s="390"/>
      <c r="J191" s="390"/>
      <c r="K191" s="390"/>
      <c r="L191" s="390"/>
      <c r="M191" s="389"/>
      <c r="N191" s="389"/>
      <c r="O191" s="389"/>
      <c r="P191" s="391"/>
    </row>
    <row r="192" spans="1:16" ht="15.6" x14ac:dyDescent="0.3">
      <c r="A192" s="182" t="s">
        <v>107</v>
      </c>
      <c r="B192" s="160">
        <f>$V$9</f>
        <v>30</v>
      </c>
      <c r="C192" s="161">
        <f>$W$9</f>
        <v>80</v>
      </c>
      <c r="D192" s="161">
        <f>B192*C192^3/12</f>
        <v>1280000</v>
      </c>
      <c r="E192" s="161">
        <f>'Carichi unitari'!$M$4</f>
        <v>3.2</v>
      </c>
      <c r="F192" s="162">
        <f>D192/(100*E192)</f>
        <v>4000</v>
      </c>
      <c r="G192" s="161"/>
      <c r="H192" s="234">
        <f>12*'Carichi unitari'!$M$9*F192/E192^2/1000000/(1+0.5*(F192/G193+F192/G194))</f>
        <v>32.216336023535959</v>
      </c>
      <c r="I192" s="160">
        <f>'Carichi unitari'!$M$4</f>
        <v>3.2</v>
      </c>
      <c r="J192" s="162">
        <f>D192/(100*I192)</f>
        <v>4000</v>
      </c>
      <c r="K192" s="161"/>
      <c r="L192" s="163">
        <f>12*'Carichi unitari'!$M$9*J192/I192^2/1000000/(1+0.5*(J192/K193+J192/K194))</f>
        <v>29.235063857421164</v>
      </c>
      <c r="M192" s="190">
        <v>6</v>
      </c>
      <c r="N192" s="164"/>
      <c r="O192" s="165">
        <v>0</v>
      </c>
      <c r="P192" s="163"/>
    </row>
    <row r="193" spans="1:16" ht="15.6" x14ac:dyDescent="0.3">
      <c r="A193" s="183" t="s">
        <v>108</v>
      </c>
      <c r="B193" s="166">
        <f>$T$9</f>
        <v>30</v>
      </c>
      <c r="C193" s="54">
        <f>$U$9</f>
        <v>70</v>
      </c>
      <c r="D193" s="54">
        <f t="shared" ref="D193:D197" si="73">B193*C193^3/12</f>
        <v>857500</v>
      </c>
      <c r="E193" s="90">
        <v>4.5999999999999996</v>
      </c>
      <c r="F193" s="167">
        <f t="shared" ref="F193:F197" si="74">D193/(100*E193)</f>
        <v>1864.130434782609</v>
      </c>
      <c r="G193" s="167">
        <f>(F193)/2</f>
        <v>932.06521739130449</v>
      </c>
      <c r="H193" s="205"/>
      <c r="I193" s="179">
        <v>5.2</v>
      </c>
      <c r="J193" s="167">
        <f t="shared" ref="J193:J197" si="75">D193/(100*I193)</f>
        <v>1649.0384615384614</v>
      </c>
      <c r="K193" s="167">
        <f>(J193)/2</f>
        <v>824.51923076923072</v>
      </c>
      <c r="L193" s="243">
        <f>L192/$L$178</f>
        <v>0.59899704163359546</v>
      </c>
      <c r="M193" s="191"/>
      <c r="N193" s="149"/>
      <c r="O193" s="169"/>
      <c r="P193" s="168"/>
    </row>
    <row r="194" spans="1:16" ht="16.2" thickBot="1" x14ac:dyDescent="0.35">
      <c r="A194" s="184" t="s">
        <v>109</v>
      </c>
      <c r="B194" s="175">
        <f>$T$10</f>
        <v>30</v>
      </c>
      <c r="C194" s="52">
        <f>$U$10</f>
        <v>80</v>
      </c>
      <c r="D194" s="171">
        <f t="shared" si="73"/>
        <v>1280000</v>
      </c>
      <c r="E194" s="144">
        <v>4.5999999999999996</v>
      </c>
      <c r="F194" s="172">
        <f t="shared" si="74"/>
        <v>2782.6086956521744</v>
      </c>
      <c r="G194" s="172">
        <f>(F194)/2</f>
        <v>1391.3043478260872</v>
      </c>
      <c r="H194" s="235"/>
      <c r="I194" s="236">
        <v>5.2</v>
      </c>
      <c r="J194" s="172">
        <f t="shared" si="75"/>
        <v>2461.5384615384614</v>
      </c>
      <c r="K194" s="172">
        <f>(J194)/2</f>
        <v>1230.7692307692307</v>
      </c>
      <c r="L194" s="173"/>
      <c r="M194" s="197"/>
      <c r="N194" s="150"/>
      <c r="O194" s="181"/>
      <c r="P194" s="178"/>
    </row>
    <row r="195" spans="1:16" ht="15.6" x14ac:dyDescent="0.3">
      <c r="A195" s="182" t="s">
        <v>107</v>
      </c>
      <c r="B195" s="160">
        <f>$W$9</f>
        <v>80</v>
      </c>
      <c r="C195" s="161">
        <f>$V$9</f>
        <v>30</v>
      </c>
      <c r="D195" s="161">
        <f t="shared" si="73"/>
        <v>180000</v>
      </c>
      <c r="E195" s="161">
        <f>'Carichi unitari'!$M$4</f>
        <v>3.2</v>
      </c>
      <c r="F195" s="162">
        <f t="shared" si="74"/>
        <v>562.5</v>
      </c>
      <c r="G195" s="162"/>
      <c r="H195" s="234">
        <f>12*'Carichi unitari'!$M$9*F195/E195^2/1000000/(1+0.5*(F195/G196+F195/G197))</f>
        <v>13.806896597421133</v>
      </c>
      <c r="I195" s="160">
        <f>'Carichi unitari'!$M$4</f>
        <v>3.2</v>
      </c>
      <c r="J195" s="162">
        <f t="shared" si="75"/>
        <v>562.5</v>
      </c>
      <c r="K195" s="162"/>
      <c r="L195" s="163">
        <f>12*'Carichi unitari'!$M$9*J195/I195^2/1000000/(1+0.5*(J195/K196+J195/K197))</f>
        <v>13.228752117714064</v>
      </c>
      <c r="M195" s="190">
        <v>2</v>
      </c>
      <c r="N195" s="164"/>
      <c r="O195" s="165">
        <v>12</v>
      </c>
      <c r="P195" s="163"/>
    </row>
    <row r="196" spans="1:16" ht="15.6" x14ac:dyDescent="0.3">
      <c r="A196" s="183" t="s">
        <v>108</v>
      </c>
      <c r="B196" s="166">
        <f>$T$9</f>
        <v>30</v>
      </c>
      <c r="C196" s="54">
        <f>$U$9</f>
        <v>70</v>
      </c>
      <c r="D196" s="54">
        <f t="shared" si="73"/>
        <v>857500</v>
      </c>
      <c r="E196" s="90">
        <v>4.5999999999999996</v>
      </c>
      <c r="F196" s="167">
        <f t="shared" si="74"/>
        <v>1864.130434782609</v>
      </c>
      <c r="G196" s="167">
        <f>(F196)/2</f>
        <v>932.06521739130449</v>
      </c>
      <c r="H196" s="205"/>
      <c r="I196" s="179">
        <v>5.2</v>
      </c>
      <c r="J196" s="167">
        <f t="shared" si="75"/>
        <v>1649.0384615384614</v>
      </c>
      <c r="K196" s="167">
        <f>(J196)/2</f>
        <v>824.51923076923072</v>
      </c>
      <c r="L196" s="243">
        <f>L195/$L$178</f>
        <v>0.27104381990270304</v>
      </c>
      <c r="M196" s="191"/>
      <c r="N196" s="149"/>
      <c r="O196" s="166"/>
      <c r="P196" s="168"/>
    </row>
    <row r="197" spans="1:16" ht="16.2" thickBot="1" x14ac:dyDescent="0.35">
      <c r="A197" s="186" t="s">
        <v>109</v>
      </c>
      <c r="B197" s="175">
        <f>$T$10</f>
        <v>30</v>
      </c>
      <c r="C197" s="52">
        <f>$U$10</f>
        <v>80</v>
      </c>
      <c r="D197" s="52">
        <f t="shared" si="73"/>
        <v>1280000</v>
      </c>
      <c r="E197" s="176">
        <v>4.5999999999999996</v>
      </c>
      <c r="F197" s="177">
        <f t="shared" si="74"/>
        <v>2782.6086956521744</v>
      </c>
      <c r="G197" s="177">
        <f>(F197)/2</f>
        <v>1391.3043478260872</v>
      </c>
      <c r="H197" s="206"/>
      <c r="I197" s="180">
        <v>5.2</v>
      </c>
      <c r="J197" s="177">
        <f t="shared" si="75"/>
        <v>2461.5384615384614</v>
      </c>
      <c r="K197" s="177">
        <f>(J197)/2</f>
        <v>1230.7692307692307</v>
      </c>
      <c r="L197" s="178"/>
      <c r="M197" s="197"/>
      <c r="N197" s="150"/>
      <c r="O197" s="175"/>
      <c r="P197" s="178"/>
    </row>
    <row r="198" spans="1:16" ht="16.2" thickBot="1" x14ac:dyDescent="0.35">
      <c r="B198" s="407" t="s">
        <v>148</v>
      </c>
      <c r="C198" s="390"/>
      <c r="D198" s="390"/>
      <c r="E198" s="390"/>
      <c r="F198" s="390"/>
      <c r="G198" s="390"/>
      <c r="H198" s="390"/>
      <c r="I198" s="390"/>
      <c r="J198" s="390"/>
      <c r="K198" s="390"/>
      <c r="L198" s="390"/>
      <c r="M198" s="393"/>
      <c r="N198" s="393"/>
      <c r="O198" s="393"/>
      <c r="P198" s="394"/>
    </row>
    <row r="199" spans="1:16" ht="15.6" x14ac:dyDescent="0.3">
      <c r="A199" s="182" t="s">
        <v>107</v>
      </c>
      <c r="B199" s="160">
        <f>$V$9</f>
        <v>30</v>
      </c>
      <c r="C199" s="161">
        <f>$W$9</f>
        <v>80</v>
      </c>
      <c r="D199" s="161">
        <f>B199*C199^3/12</f>
        <v>1280000</v>
      </c>
      <c r="E199" s="161">
        <f>'Carichi unitari'!$M$4</f>
        <v>3.2</v>
      </c>
      <c r="F199" s="162">
        <f>D199/(100*E199)</f>
        <v>4000</v>
      </c>
      <c r="G199" s="161"/>
      <c r="H199" s="234">
        <f>12*'Carichi unitari'!$M$9*F199/E199^2/1000000/(1+0.5*(F199/G200+F199/G201))</f>
        <v>4.4819772344013487</v>
      </c>
      <c r="I199" s="160">
        <f>'Carichi unitari'!$M$4</f>
        <v>3.2</v>
      </c>
      <c r="J199" s="162">
        <f>D199/(100*I199)</f>
        <v>4000</v>
      </c>
      <c r="K199" s="161"/>
      <c r="L199" s="163">
        <f>12*'Carichi unitari'!$M$9*J199/I199^2/1000000/(1+0.5*(J199/K200+J199/K201))</f>
        <v>3.97876122754491</v>
      </c>
      <c r="M199" s="190">
        <v>0</v>
      </c>
      <c r="N199" s="164"/>
      <c r="O199" s="165">
        <v>0</v>
      </c>
      <c r="P199" s="163"/>
    </row>
    <row r="200" spans="1:16" ht="15.6" x14ac:dyDescent="0.3">
      <c r="A200" s="183" t="s">
        <v>108</v>
      </c>
      <c r="B200" s="166">
        <f>$T$12</f>
        <v>100</v>
      </c>
      <c r="C200" s="54">
        <f>$U$12</f>
        <v>24</v>
      </c>
      <c r="D200" s="54">
        <f t="shared" ref="D200:D204" si="76">B200*C200^3/12</f>
        <v>115200</v>
      </c>
      <c r="E200" s="90">
        <v>4.5999999999999996</v>
      </c>
      <c r="F200" s="167">
        <f t="shared" ref="F200:F204" si="77">D200/(100*E200)</f>
        <v>250.43478260869568</v>
      </c>
      <c r="G200" s="167">
        <f>(F200)/2</f>
        <v>125.21739130434784</v>
      </c>
      <c r="H200" s="205"/>
      <c r="I200" s="179">
        <v>5.2</v>
      </c>
      <c r="J200" s="167">
        <f t="shared" ref="J200:J204" si="78">D200/(100*I200)</f>
        <v>221.53846153846155</v>
      </c>
      <c r="K200" s="167">
        <f>(J200)/2</f>
        <v>110.76923076923077</v>
      </c>
      <c r="L200" s="243">
        <f>L199/$L$178</f>
        <v>8.1520814057017166E-2</v>
      </c>
      <c r="M200" s="191"/>
      <c r="N200" s="149"/>
      <c r="O200" s="169"/>
      <c r="P200" s="168"/>
    </row>
    <row r="201" spans="1:16" ht="16.2" thickBot="1" x14ac:dyDescent="0.35">
      <c r="A201" s="184" t="s">
        <v>109</v>
      </c>
      <c r="B201" s="175">
        <f>$T$12</f>
        <v>100</v>
      </c>
      <c r="C201" s="52">
        <f>$U$12</f>
        <v>24</v>
      </c>
      <c r="D201" s="52">
        <f t="shared" si="76"/>
        <v>115200</v>
      </c>
      <c r="E201" s="176">
        <v>4.5999999999999996</v>
      </c>
      <c r="F201" s="177">
        <f t="shared" si="77"/>
        <v>250.43478260869568</v>
      </c>
      <c r="G201" s="177">
        <f>(F201)/2</f>
        <v>125.21739130434784</v>
      </c>
      <c r="H201" s="206"/>
      <c r="I201" s="236">
        <v>5.2</v>
      </c>
      <c r="J201" s="172">
        <f t="shared" si="78"/>
        <v>221.53846153846155</v>
      </c>
      <c r="K201" s="172">
        <f>(J201)/2</f>
        <v>110.76923076923077</v>
      </c>
      <c r="L201" s="173"/>
      <c r="M201" s="197"/>
      <c r="N201" s="150"/>
      <c r="O201" s="181"/>
      <c r="P201" s="178"/>
    </row>
    <row r="202" spans="1:16" ht="15.6" x14ac:dyDescent="0.3">
      <c r="A202" s="155" t="s">
        <v>107</v>
      </c>
      <c r="B202" s="160">
        <f>$W$9</f>
        <v>80</v>
      </c>
      <c r="C202" s="161">
        <f>$V$9</f>
        <v>30</v>
      </c>
      <c r="D202" s="194">
        <f t="shared" si="76"/>
        <v>180000</v>
      </c>
      <c r="E202" s="194">
        <f>'Carichi unitari'!$M$4</f>
        <v>3.2</v>
      </c>
      <c r="F202" s="195">
        <f t="shared" si="77"/>
        <v>562.5</v>
      </c>
      <c r="G202" s="195"/>
      <c r="H202" s="241">
        <f>12*'Carichi unitari'!$M$9*F202/E202^2/1000000/(1+0.5*(F202/G203+F202/G204))</f>
        <v>3.7806721194879089</v>
      </c>
      <c r="I202" s="160">
        <f>'Carichi unitari'!$M$4</f>
        <v>3.2</v>
      </c>
      <c r="J202" s="162">
        <f t="shared" si="78"/>
        <v>562.5</v>
      </c>
      <c r="K202" s="162"/>
      <c r="L202" s="163">
        <f>12*'Carichi unitari'!$M$9*J202/I202^2/1000000/(1+0.5*(J202/K203+J202/K204))</f>
        <v>3.4162114395886882</v>
      </c>
      <c r="M202" s="190">
        <v>2</v>
      </c>
      <c r="N202" s="164"/>
      <c r="O202" s="165">
        <v>0</v>
      </c>
      <c r="P202" s="163"/>
    </row>
    <row r="203" spans="1:16" ht="15.6" x14ac:dyDescent="0.3">
      <c r="A203" s="156" t="s">
        <v>108</v>
      </c>
      <c r="B203" s="166">
        <f>$T$12</f>
        <v>100</v>
      </c>
      <c r="C203" s="54">
        <f>$U$12</f>
        <v>24</v>
      </c>
      <c r="D203" s="54">
        <f t="shared" si="76"/>
        <v>115200</v>
      </c>
      <c r="E203" s="90">
        <v>4.5999999999999996</v>
      </c>
      <c r="F203" s="167">
        <f t="shared" si="77"/>
        <v>250.43478260869568</v>
      </c>
      <c r="G203" s="167">
        <f>(F203)/2</f>
        <v>125.21739130434784</v>
      </c>
      <c r="H203" s="205"/>
      <c r="I203" s="179">
        <v>5.2</v>
      </c>
      <c r="J203" s="167">
        <f t="shared" si="78"/>
        <v>221.53846153846155</v>
      </c>
      <c r="K203" s="167">
        <f>(J203)/2</f>
        <v>110.76923076923077</v>
      </c>
      <c r="L203" s="243">
        <f>L202/$L$178</f>
        <v>6.9994734948698539E-2</v>
      </c>
      <c r="M203" s="191"/>
      <c r="N203" s="149"/>
      <c r="O203" s="166"/>
      <c r="P203" s="168"/>
    </row>
    <row r="204" spans="1:16" ht="16.2" thickBot="1" x14ac:dyDescent="0.35">
      <c r="A204" s="157" t="s">
        <v>109</v>
      </c>
      <c r="B204" s="166">
        <f>$T$12</f>
        <v>100</v>
      </c>
      <c r="C204" s="54">
        <f>$U$12</f>
        <v>24</v>
      </c>
      <c r="D204" s="52">
        <f t="shared" si="76"/>
        <v>115200</v>
      </c>
      <c r="E204" s="176">
        <v>4.5999999999999996</v>
      </c>
      <c r="F204" s="177">
        <f t="shared" si="77"/>
        <v>250.43478260869568</v>
      </c>
      <c r="G204" s="177">
        <f>(F204)/2</f>
        <v>125.21739130434784</v>
      </c>
      <c r="H204" s="206"/>
      <c r="I204" s="180">
        <v>5.2</v>
      </c>
      <c r="J204" s="177">
        <f t="shared" si="78"/>
        <v>221.53846153846155</v>
      </c>
      <c r="K204" s="177">
        <f>(J204)/2</f>
        <v>110.76923076923077</v>
      </c>
      <c r="L204" s="178"/>
      <c r="M204" s="197"/>
      <c r="N204" s="150"/>
      <c r="O204" s="175"/>
      <c r="P204" s="178"/>
    </row>
    <row r="205" spans="1:16" ht="16.2" thickBot="1" x14ac:dyDescent="0.35">
      <c r="B205" s="395" t="s">
        <v>149</v>
      </c>
      <c r="C205" s="396"/>
      <c r="D205" s="396"/>
      <c r="E205" s="396"/>
      <c r="F205" s="396"/>
      <c r="G205" s="396"/>
      <c r="H205" s="396"/>
      <c r="I205" s="390"/>
      <c r="J205" s="390"/>
      <c r="K205" s="390"/>
      <c r="L205" s="390"/>
      <c r="M205" s="396"/>
      <c r="N205" s="396"/>
      <c r="O205" s="396"/>
      <c r="P205" s="397"/>
    </row>
    <row r="206" spans="1:16" ht="15.6" x14ac:dyDescent="0.3">
      <c r="A206" s="182" t="s">
        <v>107</v>
      </c>
      <c r="B206" s="160">
        <f>$V$9</f>
        <v>30</v>
      </c>
      <c r="C206" s="161">
        <f>$W$9</f>
        <v>80</v>
      </c>
      <c r="D206" s="161">
        <f>B206*C206^3/12</f>
        <v>1280000</v>
      </c>
      <c r="E206" s="161">
        <f>'Carichi unitari'!$M$4</f>
        <v>3.2</v>
      </c>
      <c r="F206" s="162">
        <f>D206/(100*E206)</f>
        <v>4000</v>
      </c>
      <c r="G206" s="161"/>
      <c r="H206" s="234">
        <f>12*'Carichi unitari'!$M$9*F206/E206^2/1000000/(1+0.5*(F206/G207+F206/G209))</f>
        <v>35.069001987074991</v>
      </c>
      <c r="I206" s="160">
        <f>'Carichi unitari'!$M$4</f>
        <v>3.2</v>
      </c>
      <c r="J206" s="162">
        <f>D206/(100*I206)</f>
        <v>4000</v>
      </c>
      <c r="K206" s="161"/>
      <c r="L206" s="163">
        <f>12*'Carichi unitari'!$M$9*J206/I206^2/1000000/(1+0.5*(J206/K207+J206/K209))</f>
        <v>31.896686590358481</v>
      </c>
      <c r="M206" s="190">
        <v>0</v>
      </c>
      <c r="N206" s="164"/>
      <c r="O206" s="165">
        <v>1</v>
      </c>
      <c r="P206" s="163"/>
    </row>
    <row r="207" spans="1:16" ht="15.6" x14ac:dyDescent="0.3">
      <c r="A207" s="183" t="s">
        <v>108</v>
      </c>
      <c r="B207" s="166">
        <f>$T$12</f>
        <v>100</v>
      </c>
      <c r="C207" s="54">
        <f>$U$12</f>
        <v>24</v>
      </c>
      <c r="D207" s="54">
        <f t="shared" ref="D207:D215" si="79">B207*C207^3/12</f>
        <v>115200</v>
      </c>
      <c r="E207" s="90">
        <v>4.5999999999999996</v>
      </c>
      <c r="F207" s="167">
        <f t="shared" ref="F207:F215" si="80">D207/(100*E207)</f>
        <v>250.43478260869568</v>
      </c>
      <c r="G207" s="167">
        <f>(F207+F208)/2</f>
        <v>1057.2826086956522</v>
      </c>
      <c r="H207" s="205"/>
      <c r="I207" s="179">
        <v>5.2</v>
      </c>
      <c r="J207" s="167">
        <f t="shared" ref="J207:J215" si="81">D207/(100*I207)</f>
        <v>221.53846153846155</v>
      </c>
      <c r="K207" s="167">
        <f>(J207+J208)/2</f>
        <v>935.28846153846143</v>
      </c>
      <c r="L207" s="243">
        <f>L206/$L$178</f>
        <v>0.65353101326264917</v>
      </c>
      <c r="M207" s="191"/>
      <c r="N207" s="149"/>
      <c r="O207" s="169"/>
      <c r="P207" s="168"/>
    </row>
    <row r="208" spans="1:16" ht="15.6" x14ac:dyDescent="0.3">
      <c r="A208" s="184"/>
      <c r="B208" s="166">
        <f>$T$9</f>
        <v>30</v>
      </c>
      <c r="C208" s="54">
        <f>$U$9</f>
        <v>70</v>
      </c>
      <c r="D208" s="54">
        <f t="shared" si="79"/>
        <v>857500</v>
      </c>
      <c r="E208" s="90">
        <v>4.5999999999999996</v>
      </c>
      <c r="F208" s="167">
        <f t="shared" si="80"/>
        <v>1864.130434782609</v>
      </c>
      <c r="G208" s="167"/>
      <c r="H208" s="205"/>
      <c r="I208" s="179">
        <v>5.2</v>
      </c>
      <c r="J208" s="167">
        <f t="shared" si="81"/>
        <v>1649.0384615384614</v>
      </c>
      <c r="K208" s="167"/>
      <c r="L208" s="168"/>
      <c r="M208" s="191"/>
      <c r="N208" s="149"/>
      <c r="O208" s="169"/>
      <c r="P208" s="168"/>
    </row>
    <row r="209" spans="1:16" ht="15.6" x14ac:dyDescent="0.3">
      <c r="A209" s="184" t="s">
        <v>109</v>
      </c>
      <c r="B209" s="166">
        <f>$T$12</f>
        <v>100</v>
      </c>
      <c r="C209" s="54">
        <f>$U$12</f>
        <v>24</v>
      </c>
      <c r="D209" s="54">
        <f t="shared" si="79"/>
        <v>115200</v>
      </c>
      <c r="E209" s="90">
        <v>4.5999999999999996</v>
      </c>
      <c r="F209" s="167">
        <f t="shared" si="80"/>
        <v>250.43478260869568</v>
      </c>
      <c r="G209" s="167">
        <f>(F209+F210)/2</f>
        <v>1516.521739130435</v>
      </c>
      <c r="H209" s="205"/>
      <c r="I209" s="179">
        <v>5.2</v>
      </c>
      <c r="J209" s="167">
        <f t="shared" si="81"/>
        <v>221.53846153846155</v>
      </c>
      <c r="K209" s="167">
        <f>(J209+J210)/2</f>
        <v>1341.5384615384614</v>
      </c>
      <c r="L209" s="168"/>
      <c r="M209" s="191"/>
      <c r="N209" s="149"/>
      <c r="O209" s="169"/>
      <c r="P209" s="168"/>
    </row>
    <row r="210" spans="1:16" ht="16.2" thickBot="1" x14ac:dyDescent="0.35">
      <c r="A210" s="185"/>
      <c r="B210" s="170">
        <f>$T$10</f>
        <v>30</v>
      </c>
      <c r="C210" s="171">
        <f>$U$10</f>
        <v>80</v>
      </c>
      <c r="D210" s="171">
        <f t="shared" si="79"/>
        <v>1280000</v>
      </c>
      <c r="E210" s="144">
        <v>4.5999999999999996</v>
      </c>
      <c r="F210" s="172">
        <f t="shared" si="80"/>
        <v>2782.6086956521744</v>
      </c>
      <c r="G210" s="172"/>
      <c r="H210" s="235"/>
      <c r="I210" s="236">
        <v>5.2</v>
      </c>
      <c r="J210" s="172">
        <f t="shared" si="81"/>
        <v>2461.5384615384614</v>
      </c>
      <c r="K210" s="172"/>
      <c r="L210" s="173"/>
      <c r="M210" s="197"/>
      <c r="N210" s="150"/>
      <c r="O210" s="181"/>
      <c r="P210" s="178"/>
    </row>
    <row r="211" spans="1:16" ht="15.6" x14ac:dyDescent="0.3">
      <c r="A211" s="182" t="s">
        <v>107</v>
      </c>
      <c r="B211" s="160">
        <f>$W$9</f>
        <v>80</v>
      </c>
      <c r="C211" s="161">
        <f>$V$9</f>
        <v>30</v>
      </c>
      <c r="D211" s="161">
        <f t="shared" si="79"/>
        <v>180000</v>
      </c>
      <c r="E211" s="161">
        <f>'Carichi unitari'!$M$4</f>
        <v>3.2</v>
      </c>
      <c r="F211" s="162">
        <f t="shared" si="80"/>
        <v>562.5</v>
      </c>
      <c r="G211" s="162"/>
      <c r="H211" s="234">
        <f>12*'Carichi unitari'!$M$9*F211/E211^2/1000000/(1+0.5*(F211/G212+F211/G214))</f>
        <v>14.305613308905603</v>
      </c>
      <c r="I211" s="160">
        <f>'Carichi unitari'!$M$4</f>
        <v>3.2</v>
      </c>
      <c r="J211" s="162">
        <f t="shared" si="81"/>
        <v>562.5</v>
      </c>
      <c r="K211" s="162"/>
      <c r="L211" s="163">
        <f>12*'Carichi unitari'!$M$9*J211/I211^2/1000000/(1+0.5*(J211/K212+J211/K214))</f>
        <v>13.747851597155044</v>
      </c>
      <c r="M211" s="190">
        <v>4</v>
      </c>
      <c r="N211" s="164"/>
      <c r="O211" s="165">
        <v>1</v>
      </c>
      <c r="P211" s="163"/>
    </row>
    <row r="212" spans="1:16" ht="15.6" x14ac:dyDescent="0.3">
      <c r="A212" s="183" t="s">
        <v>108</v>
      </c>
      <c r="B212" s="166">
        <f>$T$12</f>
        <v>100</v>
      </c>
      <c r="C212" s="54">
        <f>$U$12</f>
        <v>24</v>
      </c>
      <c r="D212" s="54">
        <f t="shared" si="79"/>
        <v>115200</v>
      </c>
      <c r="E212" s="90">
        <v>4.5999999999999996</v>
      </c>
      <c r="F212" s="167">
        <f t="shared" si="80"/>
        <v>250.43478260869568</v>
      </c>
      <c r="G212" s="167">
        <f>(F212+F213)/2</f>
        <v>1057.2826086956522</v>
      </c>
      <c r="H212" s="205"/>
      <c r="I212" s="179">
        <v>5.2</v>
      </c>
      <c r="J212" s="167">
        <f t="shared" si="81"/>
        <v>221.53846153846155</v>
      </c>
      <c r="K212" s="167">
        <f>(J212+J213)/2</f>
        <v>935.28846153846143</v>
      </c>
      <c r="L212" s="243">
        <f>L211/$L$178</f>
        <v>0.28167964590996375</v>
      </c>
      <c r="M212" s="191"/>
      <c r="N212" s="149"/>
      <c r="O212" s="166"/>
      <c r="P212" s="168"/>
    </row>
    <row r="213" spans="1:16" x14ac:dyDescent="0.3">
      <c r="B213" s="166">
        <f>$T$9</f>
        <v>30</v>
      </c>
      <c r="C213" s="54">
        <f>$U$9</f>
        <v>70</v>
      </c>
      <c r="D213" s="54">
        <f t="shared" si="79"/>
        <v>857500</v>
      </c>
      <c r="E213" s="90">
        <v>4.5999999999999996</v>
      </c>
      <c r="F213" s="167">
        <f t="shared" si="80"/>
        <v>1864.130434782609</v>
      </c>
      <c r="G213" s="88"/>
      <c r="H213" s="239"/>
      <c r="I213" s="179">
        <v>5.2</v>
      </c>
      <c r="J213" s="167">
        <f t="shared" si="81"/>
        <v>1649.0384615384614</v>
      </c>
      <c r="K213" s="88"/>
      <c r="L213" s="108"/>
      <c r="M213" s="198"/>
      <c r="N213" s="108"/>
      <c r="O213" s="188"/>
      <c r="P213" s="108"/>
    </row>
    <row r="214" spans="1:16" ht="16.2" thickBot="1" x14ac:dyDescent="0.35">
      <c r="A214" s="186" t="s">
        <v>109</v>
      </c>
      <c r="B214" s="166">
        <f>$T$12</f>
        <v>100</v>
      </c>
      <c r="C214" s="54">
        <f>$U$12</f>
        <v>24</v>
      </c>
      <c r="D214" s="54">
        <f t="shared" si="79"/>
        <v>115200</v>
      </c>
      <c r="E214" s="90">
        <v>4.5999999999999996</v>
      </c>
      <c r="F214" s="167">
        <f t="shared" si="80"/>
        <v>250.43478260869568</v>
      </c>
      <c r="G214" s="167">
        <f>(F214+F215)/2</f>
        <v>1516.521739130435</v>
      </c>
      <c r="H214" s="205"/>
      <c r="I214" s="179">
        <v>5.2</v>
      </c>
      <c r="J214" s="167">
        <f t="shared" si="81"/>
        <v>221.53846153846155</v>
      </c>
      <c r="K214" s="167">
        <f>(J214+J215)/2</f>
        <v>1341.5384615384614</v>
      </c>
      <c r="L214" s="168"/>
      <c r="M214" s="191"/>
      <c r="N214" s="149"/>
      <c r="O214" s="166"/>
      <c r="P214" s="168"/>
    </row>
    <row r="215" spans="1:16" ht="15" thickBot="1" x14ac:dyDescent="0.35">
      <c r="B215" s="175">
        <f>$T$10</f>
        <v>30</v>
      </c>
      <c r="C215" s="52">
        <f>$U$10</f>
        <v>80</v>
      </c>
      <c r="D215" s="52">
        <f t="shared" si="79"/>
        <v>1280000</v>
      </c>
      <c r="E215" s="176">
        <v>4.5999999999999996</v>
      </c>
      <c r="F215" s="177">
        <f t="shared" si="80"/>
        <v>2782.6086956521744</v>
      </c>
      <c r="G215" s="39"/>
      <c r="H215" s="240"/>
      <c r="I215" s="180">
        <v>5.2</v>
      </c>
      <c r="J215" s="177">
        <f t="shared" si="81"/>
        <v>2461.5384615384614</v>
      </c>
      <c r="K215" s="39"/>
      <c r="L215" s="187"/>
      <c r="M215" s="199"/>
      <c r="N215" s="187"/>
      <c r="O215" s="189"/>
      <c r="P215" s="187"/>
    </row>
    <row r="216" spans="1:16" ht="15" thickBot="1" x14ac:dyDescent="0.35"/>
    <row r="217" spans="1:16" ht="16.2" thickBot="1" x14ac:dyDescent="0.35">
      <c r="A217" s="1"/>
      <c r="B217" s="404" t="s">
        <v>150</v>
      </c>
      <c r="C217" s="405"/>
      <c r="D217" s="405"/>
      <c r="E217" s="405"/>
      <c r="F217" s="405"/>
      <c r="G217" s="405"/>
      <c r="H217" s="406"/>
      <c r="I217" s="207"/>
      <c r="J217" s="207"/>
      <c r="K217" s="207"/>
      <c r="L217" s="207"/>
      <c r="M217" s="398" t="s">
        <v>113</v>
      </c>
      <c r="N217" s="399"/>
      <c r="O217" s="398" t="s">
        <v>138</v>
      </c>
      <c r="P217" s="399"/>
    </row>
    <row r="218" spans="1:16" ht="19.2" thickBot="1" x14ac:dyDescent="0.35">
      <c r="B218" s="151" t="s">
        <v>110</v>
      </c>
      <c r="C218" s="152" t="s">
        <v>111</v>
      </c>
      <c r="D218" s="152" t="s">
        <v>129</v>
      </c>
      <c r="E218" s="152" t="s">
        <v>114</v>
      </c>
      <c r="F218" s="152" t="s">
        <v>140</v>
      </c>
      <c r="G218" s="152"/>
      <c r="H218" s="153" t="s">
        <v>128</v>
      </c>
      <c r="I218" s="152" t="s">
        <v>114</v>
      </c>
      <c r="J218" s="152" t="s">
        <v>140</v>
      </c>
      <c r="K218" s="152"/>
      <c r="L218" s="153" t="s">
        <v>128</v>
      </c>
      <c r="M218" s="151" t="s">
        <v>112</v>
      </c>
      <c r="N218" s="154" t="s">
        <v>146</v>
      </c>
      <c r="O218" s="151" t="s">
        <v>112</v>
      </c>
      <c r="P218" s="154" t="s">
        <v>146</v>
      </c>
    </row>
    <row r="219" spans="1:16" ht="16.2" thickBot="1" x14ac:dyDescent="0.35">
      <c r="B219" s="395" t="s">
        <v>139</v>
      </c>
      <c r="C219" s="396"/>
      <c r="D219" s="396"/>
      <c r="E219" s="396"/>
      <c r="F219" s="396"/>
      <c r="G219" s="396"/>
      <c r="H219" s="396"/>
      <c r="I219" s="396"/>
      <c r="J219" s="396"/>
      <c r="K219" s="396"/>
      <c r="L219" s="396"/>
      <c r="M219" s="393"/>
      <c r="N219" s="393"/>
      <c r="O219" s="393"/>
      <c r="P219" s="394"/>
    </row>
    <row r="220" spans="1:16" ht="15.6" x14ac:dyDescent="0.3">
      <c r="A220" s="182" t="s">
        <v>107</v>
      </c>
      <c r="B220" s="160">
        <f>$V$9</f>
        <v>30</v>
      </c>
      <c r="C220" s="161">
        <f>$W$9</f>
        <v>80</v>
      </c>
      <c r="D220" s="161">
        <f>B220*C220^3/12</f>
        <v>1280000</v>
      </c>
      <c r="E220" s="161">
        <f>'Carichi unitari'!$M$5+0.6</f>
        <v>3.6</v>
      </c>
      <c r="F220" s="162">
        <f>D220/(100*E220)</f>
        <v>3555.5555555555557</v>
      </c>
      <c r="G220" s="161"/>
      <c r="H220" s="234">
        <f>12*'Carichi unitari'!$M$9*F220/E220^2/1000000/(1+0.5*(F220/G221+F220/G222))</f>
        <v>53.081302161056762</v>
      </c>
      <c r="I220" s="161">
        <f>'Carichi unitari'!$M$5+0.6</f>
        <v>3.6</v>
      </c>
      <c r="J220" s="162">
        <f>D220/(100*I220)</f>
        <v>3555.5555555555557</v>
      </c>
      <c r="K220" s="161"/>
      <c r="L220" s="163">
        <f>12*'Carichi unitari'!$M$9*J220/I220^2/1000000/(1+0.5*(J220/K221+J220/K222))</f>
        <v>49.903871135359822</v>
      </c>
      <c r="M220" s="190">
        <v>7</v>
      </c>
      <c r="N220" s="163">
        <f>H220*M220+H223*M223+H227*M227+H230*M230+H234*M234+H237*M237+H241*M241+H244*M244+H248*M248+H253*M253</f>
        <v>698.45698373303026</v>
      </c>
      <c r="O220" s="165">
        <v>9</v>
      </c>
      <c r="P220" s="163">
        <f>L220*O220+L223*O223+L230*O230+L234*O234+L237*O237+L241*O241+L244*O244+L248*O248+L227*O227+L253*O253</f>
        <v>643.34016806831823</v>
      </c>
    </row>
    <row r="221" spans="1:16" ht="15.6" x14ac:dyDescent="0.3">
      <c r="A221" s="183" t="s">
        <v>108</v>
      </c>
      <c r="B221" s="166">
        <f>$T$9</f>
        <v>30</v>
      </c>
      <c r="C221" s="54">
        <f>$U$9</f>
        <v>70</v>
      </c>
      <c r="D221" s="54">
        <f t="shared" ref="D221:D224" si="82">B221*C221^3/12</f>
        <v>857500</v>
      </c>
      <c r="E221" s="90">
        <v>4.5999999999999996</v>
      </c>
      <c r="F221" s="167">
        <f t="shared" ref="F221:F225" si="83">D221/(100*E221)</f>
        <v>1864.130434782609</v>
      </c>
      <c r="G221" s="167">
        <f>(F221+F221)/2</f>
        <v>1864.130434782609</v>
      </c>
      <c r="H221" s="205"/>
      <c r="I221" s="179">
        <v>5.2</v>
      </c>
      <c r="J221" s="167">
        <f t="shared" ref="J221:J225" si="84">D221/(100*I221)</f>
        <v>1649.0384615384614</v>
      </c>
      <c r="K221" s="167">
        <f>(J221+J221)/2</f>
        <v>1649.0384615384614</v>
      </c>
      <c r="L221" s="242">
        <f>L220/L220</f>
        <v>1</v>
      </c>
      <c r="M221" s="191"/>
      <c r="N221" s="243">
        <f>N220/H220</f>
        <v>13.158248861601122</v>
      </c>
      <c r="O221" s="169"/>
      <c r="P221" s="243">
        <f>P220/L220</f>
        <v>12.891588436562669</v>
      </c>
    </row>
    <row r="222" spans="1:16" ht="16.2" thickBot="1" x14ac:dyDescent="0.35">
      <c r="A222" s="184" t="s">
        <v>109</v>
      </c>
      <c r="B222" s="175"/>
      <c r="C222" s="52"/>
      <c r="D222" s="52">
        <f>1E+28</f>
        <v>9.9999999999999996E+27</v>
      </c>
      <c r="E222" s="176">
        <v>4.5999999999999996</v>
      </c>
      <c r="F222" s="208">
        <f t="shared" si="83"/>
        <v>2.1739130434782611E+25</v>
      </c>
      <c r="G222" s="208">
        <f>999999999999999000000</f>
        <v>9.9999999999999895E+20</v>
      </c>
      <c r="H222" s="206"/>
      <c r="I222" s="236">
        <v>5.2</v>
      </c>
      <c r="J222" s="209">
        <f t="shared" si="84"/>
        <v>1.9230769230769229E+25</v>
      </c>
      <c r="K222" s="209">
        <f>999999999999999000000</f>
        <v>9.9999999999999895E+20</v>
      </c>
      <c r="L222" s="173"/>
      <c r="M222" s="192"/>
      <c r="N222" s="159"/>
      <c r="O222" s="174"/>
      <c r="P222" s="173"/>
    </row>
    <row r="223" spans="1:16" ht="15.6" x14ac:dyDescent="0.3">
      <c r="A223" s="182" t="s">
        <v>107</v>
      </c>
      <c r="B223" s="160">
        <f>$W$9</f>
        <v>80</v>
      </c>
      <c r="C223" s="161">
        <f>$V$9</f>
        <v>30</v>
      </c>
      <c r="D223" s="161">
        <f t="shared" si="82"/>
        <v>180000</v>
      </c>
      <c r="E223" s="161">
        <f>'Carichi unitari'!$M$5+0.6</f>
        <v>3.6</v>
      </c>
      <c r="F223" s="162">
        <f t="shared" si="83"/>
        <v>500</v>
      </c>
      <c r="G223" s="162"/>
      <c r="H223" s="234">
        <f>12*'Carichi unitari'!$M$9*F223/E223^2/1000000/(1+0.5*(F223/G224+F223/G225))</f>
        <v>12.858826049700083</v>
      </c>
      <c r="I223" s="161">
        <f>'Carichi unitari'!$M$5+0.6</f>
        <v>3.6</v>
      </c>
      <c r="J223" s="162">
        <f t="shared" si="84"/>
        <v>500</v>
      </c>
      <c r="K223" s="162"/>
      <c r="L223" s="163">
        <f>12*'Carichi unitari'!$M$9*J223/I223^2/1000000/(1+0.5*(J223/K224+J223/K225))</f>
        <v>12.663502109704639</v>
      </c>
      <c r="M223" s="190">
        <v>1</v>
      </c>
      <c r="N223" s="164"/>
      <c r="O223" s="165">
        <v>1</v>
      </c>
      <c r="P223" s="163"/>
    </row>
    <row r="224" spans="1:16" ht="15.6" x14ac:dyDescent="0.3">
      <c r="A224" s="183" t="s">
        <v>108</v>
      </c>
      <c r="B224" s="166">
        <f>$T$9</f>
        <v>30</v>
      </c>
      <c r="C224" s="54">
        <f>$U$9</f>
        <v>70</v>
      </c>
      <c r="D224" s="54">
        <f t="shared" si="82"/>
        <v>857500</v>
      </c>
      <c r="E224" s="90">
        <v>4.5999999999999996</v>
      </c>
      <c r="F224" s="167">
        <f t="shared" si="83"/>
        <v>1864.130434782609</v>
      </c>
      <c r="G224" s="167">
        <f>(F224+F224)/2</f>
        <v>1864.130434782609</v>
      </c>
      <c r="H224" s="205"/>
      <c r="I224" s="179">
        <v>5.2</v>
      </c>
      <c r="J224" s="167">
        <f t="shared" si="84"/>
        <v>1649.0384615384614</v>
      </c>
      <c r="K224" s="167">
        <f>(J224+J224)/2</f>
        <v>1649.0384615384614</v>
      </c>
      <c r="L224" s="243">
        <f>L223/$L$220</f>
        <v>0.25375791139240511</v>
      </c>
      <c r="M224" s="191"/>
      <c r="N224" s="149"/>
      <c r="O224" s="166"/>
      <c r="P224" s="168"/>
    </row>
    <row r="225" spans="1:16" ht="16.2" thickBot="1" x14ac:dyDescent="0.35">
      <c r="A225" s="186" t="s">
        <v>109</v>
      </c>
      <c r="B225" s="175">
        <f>$T$10</f>
        <v>30</v>
      </c>
      <c r="C225" s="52">
        <f>$U$10</f>
        <v>80</v>
      </c>
      <c r="D225" s="52">
        <f>1E+28</f>
        <v>9.9999999999999996E+27</v>
      </c>
      <c r="E225" s="176">
        <v>4.5999999999999996</v>
      </c>
      <c r="F225" s="208">
        <f t="shared" si="83"/>
        <v>2.1739130434782611E+25</v>
      </c>
      <c r="G225" s="208">
        <f>(F225+F225)/2</f>
        <v>2.1739130434782611E+25</v>
      </c>
      <c r="H225" s="206"/>
      <c r="I225" s="180">
        <v>5.2</v>
      </c>
      <c r="J225" s="208">
        <f t="shared" si="84"/>
        <v>1.9230769230769229E+25</v>
      </c>
      <c r="K225" s="208">
        <f>(J225+J225)/2</f>
        <v>1.9230769230769229E+25</v>
      </c>
      <c r="L225" s="178"/>
      <c r="M225" s="197"/>
      <c r="N225" s="150"/>
      <c r="O225" s="175"/>
      <c r="P225" s="178"/>
    </row>
    <row r="226" spans="1:16" ht="16.2" thickBot="1" x14ac:dyDescent="0.35">
      <c r="B226" s="408" t="s">
        <v>144</v>
      </c>
      <c r="C226" s="402"/>
      <c r="D226" s="402"/>
      <c r="E226" s="402"/>
      <c r="F226" s="402"/>
      <c r="G226" s="402"/>
      <c r="H226" s="402"/>
      <c r="I226" s="402"/>
      <c r="J226" s="402"/>
      <c r="K226" s="402"/>
      <c r="L226" s="402"/>
      <c r="M226" s="401"/>
      <c r="N226" s="401"/>
      <c r="O226" s="401"/>
      <c r="P226" s="403"/>
    </row>
    <row r="227" spans="1:16" ht="15.6" x14ac:dyDescent="0.3">
      <c r="A227" s="182" t="s">
        <v>107</v>
      </c>
      <c r="B227" s="160">
        <f>$V$9</f>
        <v>30</v>
      </c>
      <c r="C227" s="161">
        <f>$W$9</f>
        <v>80</v>
      </c>
      <c r="D227" s="161">
        <f>B227*C227^3/12</f>
        <v>1280000</v>
      </c>
      <c r="E227" s="161">
        <f>'Carichi unitari'!$M$5+0.6</f>
        <v>3.6</v>
      </c>
      <c r="F227" s="162">
        <f>D227/(100*E227)</f>
        <v>3555.5555555555557</v>
      </c>
      <c r="G227" s="161"/>
      <c r="H227" s="234">
        <f>12*'Carichi unitari'!$M$9*F227/E227^2/1000000/(1+0.5*(F227/G228+F227/G229))</f>
        <v>12.804878048780486</v>
      </c>
      <c r="I227" s="161">
        <f>'Carichi unitari'!$M$5+0.6</f>
        <v>3.6</v>
      </c>
      <c r="J227" s="162">
        <f>D227/(100*I227)</f>
        <v>3555.5555555555557</v>
      </c>
      <c r="K227" s="161"/>
      <c r="L227" s="163">
        <f>12*'Carichi unitari'!$M$9*J227/I227^2/1000000/(1+0.5*(J227/K228+J227/K229))</f>
        <v>11.491108071135431</v>
      </c>
      <c r="M227" s="190">
        <v>1</v>
      </c>
      <c r="N227" s="163"/>
      <c r="O227" s="165">
        <v>0</v>
      </c>
      <c r="P227" s="163"/>
    </row>
    <row r="228" spans="1:16" ht="15.6" x14ac:dyDescent="0.3">
      <c r="A228" s="183" t="s">
        <v>108</v>
      </c>
      <c r="B228" s="166">
        <f>$T$12</f>
        <v>100</v>
      </c>
      <c r="C228" s="54">
        <f>$U$12</f>
        <v>24</v>
      </c>
      <c r="D228" s="54">
        <f t="shared" ref="D228" si="85">B228*C228^3/12</f>
        <v>115200</v>
      </c>
      <c r="E228" s="90">
        <v>4.5999999999999996</v>
      </c>
      <c r="F228" s="167">
        <f t="shared" ref="F228:F229" si="86">D228/(100*E228)</f>
        <v>250.43478260869568</v>
      </c>
      <c r="G228" s="167">
        <f>(F228+F228)/2</f>
        <v>250.43478260869568</v>
      </c>
      <c r="H228" s="205"/>
      <c r="I228" s="179">
        <v>5.2</v>
      </c>
      <c r="J228" s="167">
        <f t="shared" ref="J228:J232" si="87">D228/(100*I228)</f>
        <v>221.53846153846155</v>
      </c>
      <c r="K228" s="167">
        <f>(J228+J228)/2</f>
        <v>221.53846153846155</v>
      </c>
      <c r="L228" s="243">
        <f>L227/$L$220</f>
        <v>0.23026486342045127</v>
      </c>
      <c r="M228" s="191"/>
      <c r="N228" s="149"/>
      <c r="O228" s="169"/>
      <c r="P228" s="168"/>
    </row>
    <row r="229" spans="1:16" ht="16.2" thickBot="1" x14ac:dyDescent="0.35">
      <c r="A229" s="184" t="s">
        <v>109</v>
      </c>
      <c r="B229" s="175">
        <f>$T$12</f>
        <v>100</v>
      </c>
      <c r="C229" s="52">
        <f>$U$12</f>
        <v>24</v>
      </c>
      <c r="D229" s="52">
        <f>1E+28</f>
        <v>9.9999999999999996E+27</v>
      </c>
      <c r="E229" s="176">
        <v>4.5999999999999996</v>
      </c>
      <c r="F229" s="208">
        <f t="shared" si="86"/>
        <v>2.1739130434782611E+25</v>
      </c>
      <c r="G229" s="208">
        <f>(F229+F229)/2</f>
        <v>2.1739130434782611E+25</v>
      </c>
      <c r="H229" s="206"/>
      <c r="I229" s="236">
        <v>5.2</v>
      </c>
      <c r="J229" s="209">
        <f t="shared" si="87"/>
        <v>1.9230769230769229E+25</v>
      </c>
      <c r="K229" s="209">
        <f>(J229+J229)/2</f>
        <v>1.9230769230769229E+25</v>
      </c>
      <c r="L229" s="173"/>
      <c r="M229" s="197"/>
      <c r="N229" s="150"/>
      <c r="O229" s="181"/>
      <c r="P229" s="178"/>
    </row>
    <row r="230" spans="1:16" ht="15.6" x14ac:dyDescent="0.3">
      <c r="A230" s="182" t="s">
        <v>107</v>
      </c>
      <c r="B230" s="160">
        <f>$W$9</f>
        <v>80</v>
      </c>
      <c r="C230" s="161">
        <f>$V$9</f>
        <v>30</v>
      </c>
      <c r="D230" s="161">
        <f>B230*C230^3/12</f>
        <v>180000</v>
      </c>
      <c r="E230" s="161">
        <f>'Carichi unitari'!$M$5+0.6</f>
        <v>3.6</v>
      </c>
      <c r="F230" s="161">
        <f>D230/(100*E230)</f>
        <v>500</v>
      </c>
      <c r="G230" s="161"/>
      <c r="H230" s="234">
        <f>12*'Carichi unitari'!$M$9*F230/E230^2/1000000/(1+0.5*(F230/G231+F230/G232))</f>
        <v>7.2980017376194608</v>
      </c>
      <c r="I230" s="161">
        <f>'Carichi unitari'!$M$5+0.6</f>
        <v>3.6</v>
      </c>
      <c r="J230" s="162">
        <f t="shared" si="87"/>
        <v>500</v>
      </c>
      <c r="K230" s="161"/>
      <c r="L230" s="163">
        <f>12*'Carichi unitari'!$M$9*J230/I230^2/1000000/(1+0.5*(J230/K231+J230/K232))</f>
        <v>6.8515497553017939</v>
      </c>
      <c r="M230" s="190">
        <v>1</v>
      </c>
      <c r="N230" s="164"/>
      <c r="O230" s="160">
        <v>0</v>
      </c>
      <c r="P230" s="163"/>
    </row>
    <row r="231" spans="1:16" ht="15.6" x14ac:dyDescent="0.3">
      <c r="A231" s="183" t="s">
        <v>108</v>
      </c>
      <c r="B231" s="166">
        <f>$T$12</f>
        <v>100</v>
      </c>
      <c r="C231" s="54">
        <f>$U$12</f>
        <v>24</v>
      </c>
      <c r="D231" s="54">
        <f>B231*C231^3/12</f>
        <v>115200</v>
      </c>
      <c r="E231" s="90">
        <v>4.5999999999999996</v>
      </c>
      <c r="F231" s="54">
        <f>D231/(100*E231)</f>
        <v>250.43478260869568</v>
      </c>
      <c r="G231" s="167">
        <f t="shared" ref="G231:G232" si="88">(F231+F231)/2</f>
        <v>250.43478260869568</v>
      </c>
      <c r="H231" s="205"/>
      <c r="I231" s="179">
        <v>5.2</v>
      </c>
      <c r="J231" s="167">
        <f t="shared" si="87"/>
        <v>221.53846153846155</v>
      </c>
      <c r="K231" s="167">
        <f t="shared" ref="K231:K232" si="89">(J231+J231)/2</f>
        <v>221.53846153846155</v>
      </c>
      <c r="L231" s="243">
        <f>L230/$L$220</f>
        <v>0.1372949552694534</v>
      </c>
      <c r="M231" s="237"/>
      <c r="N231" s="149"/>
      <c r="O231" s="166"/>
      <c r="P231" s="168"/>
    </row>
    <row r="232" spans="1:16" ht="16.2" thickBot="1" x14ac:dyDescent="0.35">
      <c r="A232" s="186" t="s">
        <v>109</v>
      </c>
      <c r="B232" s="175">
        <f>$T$12</f>
        <v>100</v>
      </c>
      <c r="C232" s="52">
        <f>$U$12</f>
        <v>24</v>
      </c>
      <c r="D232" s="52">
        <f>1E+28</f>
        <v>9.9999999999999996E+27</v>
      </c>
      <c r="E232" s="176">
        <v>4.5999999999999996</v>
      </c>
      <c r="F232" s="208">
        <f>D232/(100*E232)</f>
        <v>2.1739130434782611E+25</v>
      </c>
      <c r="G232" s="208">
        <f t="shared" si="88"/>
        <v>2.1739130434782611E+25</v>
      </c>
      <c r="H232" s="206"/>
      <c r="I232" s="180">
        <v>5.2</v>
      </c>
      <c r="J232" s="208">
        <f t="shared" si="87"/>
        <v>1.9230769230769229E+25</v>
      </c>
      <c r="K232" s="208">
        <f t="shared" si="89"/>
        <v>1.9230769230769229E+25</v>
      </c>
      <c r="L232" s="178"/>
      <c r="M232" s="238"/>
      <c r="N232" s="150"/>
      <c r="O232" s="175"/>
      <c r="P232" s="178"/>
    </row>
    <row r="233" spans="1:16" ht="16.2" thickBot="1" x14ac:dyDescent="0.35">
      <c r="B233" s="407" t="s">
        <v>147</v>
      </c>
      <c r="C233" s="390"/>
      <c r="D233" s="390"/>
      <c r="E233" s="390"/>
      <c r="F233" s="390"/>
      <c r="G233" s="390"/>
      <c r="H233" s="390"/>
      <c r="I233" s="390"/>
      <c r="J233" s="390"/>
      <c r="K233" s="390"/>
      <c r="L233" s="390"/>
      <c r="M233" s="389"/>
      <c r="N233" s="389"/>
      <c r="O233" s="389"/>
      <c r="P233" s="391"/>
    </row>
    <row r="234" spans="1:16" ht="15.6" x14ac:dyDescent="0.3">
      <c r="A234" s="182" t="s">
        <v>107</v>
      </c>
      <c r="B234" s="160">
        <f>$V$9</f>
        <v>30</v>
      </c>
      <c r="C234" s="161">
        <f>$W$9</f>
        <v>80</v>
      </c>
      <c r="D234" s="161">
        <f>B234*C234^3/12</f>
        <v>1280000</v>
      </c>
      <c r="E234" s="161">
        <f>'Carichi unitari'!$M$5+0.6</f>
        <v>3.6</v>
      </c>
      <c r="F234" s="162">
        <f>D234/(100*E234)</f>
        <v>3555.5555555555557</v>
      </c>
      <c r="G234" s="161"/>
      <c r="H234" s="234">
        <f>12*'Carichi unitari'!$M$9*F234/E234^2/1000000/(1+0.5*(F234/G235+F234/G236))</f>
        <v>35.669452181987005</v>
      </c>
      <c r="I234" s="161">
        <f>'Carichi unitari'!$M$5+0.6</f>
        <v>3.6</v>
      </c>
      <c r="J234" s="162">
        <f>D234/(100*I234)</f>
        <v>3555.5555555555557</v>
      </c>
      <c r="K234" s="161"/>
      <c r="L234" s="163">
        <f>12*'Carichi unitari'!$M$9*J234/I234^2/1000000/(1+0.5*(J234/K235+J234/K236))</f>
        <v>32.857778233945737</v>
      </c>
      <c r="M234" s="190">
        <v>6</v>
      </c>
      <c r="N234" s="164"/>
      <c r="O234" s="165">
        <v>0</v>
      </c>
      <c r="P234" s="163"/>
    </row>
    <row r="235" spans="1:16" ht="15.6" x14ac:dyDescent="0.3">
      <c r="A235" s="183" t="s">
        <v>108</v>
      </c>
      <c r="B235" s="166">
        <f>$T$9</f>
        <v>30</v>
      </c>
      <c r="C235" s="54">
        <f>$U$9</f>
        <v>70</v>
      </c>
      <c r="D235" s="54">
        <f t="shared" ref="D235:D238" si="90">B235*C235^3/12</f>
        <v>857500</v>
      </c>
      <c r="E235" s="90">
        <v>4.5999999999999996</v>
      </c>
      <c r="F235" s="167">
        <f t="shared" ref="F235:F239" si="91">D235/(100*E235)</f>
        <v>1864.130434782609</v>
      </c>
      <c r="G235" s="167">
        <f>(F235)/2</f>
        <v>932.06521739130449</v>
      </c>
      <c r="H235" s="205"/>
      <c r="I235" s="179">
        <v>5.2</v>
      </c>
      <c r="J235" s="167">
        <f t="shared" ref="J235:J239" si="92">D235/(100*I235)</f>
        <v>1649.0384615384614</v>
      </c>
      <c r="K235" s="167">
        <f>(J235)/2</f>
        <v>824.51923076923072</v>
      </c>
      <c r="L235" s="243">
        <f>L234/$L$220</f>
        <v>0.65842143077080995</v>
      </c>
      <c r="M235" s="191"/>
      <c r="N235" s="149"/>
      <c r="O235" s="169"/>
      <c r="P235" s="168"/>
    </row>
    <row r="236" spans="1:16" ht="16.2" thickBot="1" x14ac:dyDescent="0.35">
      <c r="A236" s="184" t="s">
        <v>109</v>
      </c>
      <c r="B236" s="175">
        <f>$T$10</f>
        <v>30</v>
      </c>
      <c r="C236" s="52">
        <f>$U$10</f>
        <v>80</v>
      </c>
      <c r="D236" s="52">
        <f>1E+28</f>
        <v>9.9999999999999996E+27</v>
      </c>
      <c r="E236" s="144">
        <v>4.5999999999999996</v>
      </c>
      <c r="F236" s="209">
        <f t="shared" si="91"/>
        <v>2.1739130434782611E+25</v>
      </c>
      <c r="G236" s="209">
        <f>(F236)/2</f>
        <v>1.0869565217391305E+25</v>
      </c>
      <c r="H236" s="235"/>
      <c r="I236" s="236">
        <v>5.2</v>
      </c>
      <c r="J236" s="209">
        <f t="shared" si="92"/>
        <v>1.9230769230769229E+25</v>
      </c>
      <c r="K236" s="209">
        <f>(J236)/2</f>
        <v>9.6153846153846147E+24</v>
      </c>
      <c r="L236" s="173"/>
      <c r="M236" s="197"/>
      <c r="N236" s="150"/>
      <c r="O236" s="181"/>
      <c r="P236" s="178"/>
    </row>
    <row r="237" spans="1:16" ht="15.6" x14ac:dyDescent="0.3">
      <c r="A237" s="182" t="s">
        <v>107</v>
      </c>
      <c r="B237" s="160">
        <f>$W$9</f>
        <v>80</v>
      </c>
      <c r="C237" s="161">
        <f>$V$9</f>
        <v>30</v>
      </c>
      <c r="D237" s="161">
        <f t="shared" si="90"/>
        <v>180000</v>
      </c>
      <c r="E237" s="161">
        <f>'Carichi unitari'!$M$5+0.6</f>
        <v>3.6</v>
      </c>
      <c r="F237" s="162">
        <f t="shared" si="91"/>
        <v>500</v>
      </c>
      <c r="G237" s="162"/>
      <c r="H237" s="234">
        <f>12*'Carichi unitari'!$M$9*F237/E237^2/1000000/(1+0.5*(F237/G238+F237/G239))</f>
        <v>11.499042145593869</v>
      </c>
      <c r="I237" s="161">
        <f>'Carichi unitari'!$M$5+0.6</f>
        <v>3.6</v>
      </c>
      <c r="J237" s="162">
        <f t="shared" si="92"/>
        <v>500</v>
      </c>
      <c r="K237" s="162"/>
      <c r="L237" s="163">
        <f>12*'Carichi unitari'!$M$9*J237/I237^2/1000000/(1+0.5*(J237/K238+J237/K239))</f>
        <v>11.190343027591348</v>
      </c>
      <c r="M237" s="190">
        <v>2</v>
      </c>
      <c r="N237" s="164"/>
      <c r="O237" s="165">
        <v>12</v>
      </c>
      <c r="P237" s="163"/>
    </row>
    <row r="238" spans="1:16" ht="15.6" x14ac:dyDescent="0.3">
      <c r="A238" s="183" t="s">
        <v>108</v>
      </c>
      <c r="B238" s="166">
        <f>$T$9</f>
        <v>30</v>
      </c>
      <c r="C238" s="54">
        <f>$U$9</f>
        <v>70</v>
      </c>
      <c r="D238" s="54">
        <f t="shared" si="90"/>
        <v>857500</v>
      </c>
      <c r="E238" s="90">
        <v>4.5999999999999996</v>
      </c>
      <c r="F238" s="167">
        <f t="shared" si="91"/>
        <v>1864.130434782609</v>
      </c>
      <c r="G238" s="167">
        <f>(F238)/2</f>
        <v>932.06521739130449</v>
      </c>
      <c r="H238" s="205"/>
      <c r="I238" s="179">
        <v>5.2</v>
      </c>
      <c r="J238" s="167">
        <f t="shared" si="92"/>
        <v>1649.0384615384614</v>
      </c>
      <c r="K238" s="167">
        <f>(J238)/2</f>
        <v>824.51923076923072</v>
      </c>
      <c r="L238" s="243">
        <f>L237/$L$220</f>
        <v>0.22423797539149889</v>
      </c>
      <c r="M238" s="191"/>
      <c r="N238" s="149"/>
      <c r="O238" s="166"/>
      <c r="P238" s="168"/>
    </row>
    <row r="239" spans="1:16" ht="16.2" thickBot="1" x14ac:dyDescent="0.35">
      <c r="A239" s="186" t="s">
        <v>109</v>
      </c>
      <c r="B239" s="175">
        <f>$T$10</f>
        <v>30</v>
      </c>
      <c r="C239" s="52">
        <f>$U$10</f>
        <v>80</v>
      </c>
      <c r="D239" s="52">
        <f>1E+28</f>
        <v>9.9999999999999996E+27</v>
      </c>
      <c r="E239" s="176">
        <v>4.5999999999999996</v>
      </c>
      <c r="F239" s="208">
        <f t="shared" si="91"/>
        <v>2.1739130434782611E+25</v>
      </c>
      <c r="G239" s="208">
        <f>(F239)/2</f>
        <v>1.0869565217391305E+25</v>
      </c>
      <c r="H239" s="206"/>
      <c r="I239" s="180">
        <v>5.2</v>
      </c>
      <c r="J239" s="208">
        <f t="shared" si="92"/>
        <v>1.9230769230769229E+25</v>
      </c>
      <c r="K239" s="208">
        <f>(J239)/2</f>
        <v>9.6153846153846147E+24</v>
      </c>
      <c r="L239" s="178"/>
      <c r="M239" s="197"/>
      <c r="N239" s="150"/>
      <c r="O239" s="175"/>
      <c r="P239" s="178"/>
    </row>
    <row r="240" spans="1:16" ht="16.2" thickBot="1" x14ac:dyDescent="0.35">
      <c r="B240" s="407" t="s">
        <v>148</v>
      </c>
      <c r="C240" s="390"/>
      <c r="D240" s="390"/>
      <c r="E240" s="390"/>
      <c r="F240" s="390"/>
      <c r="G240" s="390"/>
      <c r="H240" s="390"/>
      <c r="I240" s="390"/>
      <c r="J240" s="390"/>
      <c r="K240" s="390"/>
      <c r="L240" s="390"/>
      <c r="M240" s="393"/>
      <c r="N240" s="393"/>
      <c r="O240" s="393"/>
      <c r="P240" s="394"/>
    </row>
    <row r="241" spans="1:16" ht="15.6" x14ac:dyDescent="0.3">
      <c r="A241" s="182" t="s">
        <v>107</v>
      </c>
      <c r="B241" s="160">
        <f>$V$9</f>
        <v>30</v>
      </c>
      <c r="C241" s="161">
        <f>$W$9</f>
        <v>80</v>
      </c>
      <c r="D241" s="161">
        <f>B241*C241^3/12</f>
        <v>1280000</v>
      </c>
      <c r="E241" s="161">
        <f>'Carichi unitari'!$M$5+0.6</f>
        <v>3.6</v>
      </c>
      <c r="F241" s="162">
        <f>D241/(100*E241)</f>
        <v>3555.5555555555557</v>
      </c>
      <c r="G241" s="161"/>
      <c r="H241" s="234">
        <f>12*'Carichi unitari'!$M$9*F241/E241^2/1000000/(1+0.5*(F241/G242+F241/G243))</f>
        <v>6.8237205523964253</v>
      </c>
      <c r="I241" s="161">
        <f>'Carichi unitari'!$M$5+0.6</f>
        <v>3.6</v>
      </c>
      <c r="J241" s="162">
        <f>D241/(100*I241)</f>
        <v>3555.5555555555557</v>
      </c>
      <c r="K241" s="161"/>
      <c r="L241" s="163">
        <f>12*'Carichi unitari'!$M$9*J241/I241^2/1000000/(1+0.5*(J241/K242+J241/K243))</f>
        <v>6.0825488776249088</v>
      </c>
      <c r="M241" s="190">
        <v>0</v>
      </c>
      <c r="N241" s="164"/>
      <c r="O241" s="165">
        <v>0</v>
      </c>
      <c r="P241" s="163"/>
    </row>
    <row r="242" spans="1:16" ht="15.6" x14ac:dyDescent="0.3">
      <c r="A242" s="183" t="s">
        <v>108</v>
      </c>
      <c r="B242" s="166">
        <f>$T$12</f>
        <v>100</v>
      </c>
      <c r="C242" s="54">
        <f>$U$12</f>
        <v>24</v>
      </c>
      <c r="D242" s="54">
        <f t="shared" ref="D242:D245" si="93">B242*C242^3/12</f>
        <v>115200</v>
      </c>
      <c r="E242" s="90">
        <v>4.5999999999999996</v>
      </c>
      <c r="F242" s="167">
        <f t="shared" ref="F242:F246" si="94">D242/(100*E242)</f>
        <v>250.43478260869568</v>
      </c>
      <c r="G242" s="167">
        <f>(F242)/2</f>
        <v>125.21739130434784</v>
      </c>
      <c r="H242" s="205"/>
      <c r="I242" s="179">
        <v>5.2</v>
      </c>
      <c r="J242" s="167">
        <f t="shared" ref="J242:J246" si="95">D242/(100*I242)</f>
        <v>221.53846153846155</v>
      </c>
      <c r="K242" s="167">
        <f>(J242)/2</f>
        <v>110.76923076923077</v>
      </c>
      <c r="L242" s="243">
        <f>L241/$L$220</f>
        <v>0.12188531148468493</v>
      </c>
      <c r="M242" s="191"/>
      <c r="N242" s="149"/>
      <c r="O242" s="169"/>
      <c r="P242" s="168"/>
    </row>
    <row r="243" spans="1:16" ht="16.2" thickBot="1" x14ac:dyDescent="0.35">
      <c r="A243" s="184" t="s">
        <v>109</v>
      </c>
      <c r="B243" s="175">
        <f>$T$12</f>
        <v>100</v>
      </c>
      <c r="C243" s="52">
        <f>$U$12</f>
        <v>24</v>
      </c>
      <c r="D243" s="52">
        <f>1E+28</f>
        <v>9.9999999999999996E+27</v>
      </c>
      <c r="E243" s="176">
        <v>4.5999999999999996</v>
      </c>
      <c r="F243" s="208">
        <f t="shared" si="94"/>
        <v>2.1739130434782611E+25</v>
      </c>
      <c r="G243" s="208">
        <f>(F243)/2</f>
        <v>1.0869565217391305E+25</v>
      </c>
      <c r="H243" s="206"/>
      <c r="I243" s="236">
        <v>5.2</v>
      </c>
      <c r="J243" s="209">
        <f t="shared" si="95"/>
        <v>1.9230769230769229E+25</v>
      </c>
      <c r="K243" s="209">
        <f>(J243)/2</f>
        <v>9.6153846153846147E+24</v>
      </c>
      <c r="L243" s="173"/>
      <c r="M243" s="197"/>
      <c r="N243" s="150"/>
      <c r="O243" s="181"/>
      <c r="P243" s="178"/>
    </row>
    <row r="244" spans="1:16" ht="15.6" x14ac:dyDescent="0.3">
      <c r="A244" s="155" t="s">
        <v>107</v>
      </c>
      <c r="B244" s="160">
        <f>$W$9</f>
        <v>80</v>
      </c>
      <c r="C244" s="161">
        <f>$V$9</f>
        <v>30</v>
      </c>
      <c r="D244" s="194">
        <f t="shared" si="93"/>
        <v>180000</v>
      </c>
      <c r="E244" s="161">
        <f>'Carichi unitari'!$M$5+0.6</f>
        <v>3.6</v>
      </c>
      <c r="F244" s="195">
        <f t="shared" si="94"/>
        <v>500</v>
      </c>
      <c r="G244" s="195"/>
      <c r="H244" s="241">
        <f>12*'Carichi unitari'!$M$9*F244/E244^2/1000000/(1+0.5*(F244/G245+F244/G246))</f>
        <v>4.8667439165701039</v>
      </c>
      <c r="I244" s="161">
        <f>'Carichi unitari'!$M$5+0.6</f>
        <v>3.6</v>
      </c>
      <c r="J244" s="162">
        <f t="shared" si="95"/>
        <v>500</v>
      </c>
      <c r="K244" s="162"/>
      <c r="L244" s="163">
        <f>12*'Carichi unitari'!$M$9*J244/I244^2/1000000/(1+0.5*(J244/K245+J244/K246))</f>
        <v>4.4776119402985071</v>
      </c>
      <c r="M244" s="190">
        <v>2</v>
      </c>
      <c r="N244" s="164"/>
      <c r="O244" s="165">
        <v>0</v>
      </c>
      <c r="P244" s="163"/>
    </row>
    <row r="245" spans="1:16" ht="15.6" x14ac:dyDescent="0.3">
      <c r="A245" s="156" t="s">
        <v>108</v>
      </c>
      <c r="B245" s="166">
        <f>$T$12</f>
        <v>100</v>
      </c>
      <c r="C245" s="54">
        <f>$U$12</f>
        <v>24</v>
      </c>
      <c r="D245" s="54">
        <f t="shared" si="93"/>
        <v>115200</v>
      </c>
      <c r="E245" s="90">
        <v>4.5999999999999996</v>
      </c>
      <c r="F245" s="167">
        <f t="shared" si="94"/>
        <v>250.43478260869568</v>
      </c>
      <c r="G245" s="167">
        <f>(F245)/2</f>
        <v>125.21739130434784</v>
      </c>
      <c r="H245" s="205"/>
      <c r="I245" s="179">
        <v>5.2</v>
      </c>
      <c r="J245" s="167">
        <f t="shared" si="95"/>
        <v>221.53846153846155</v>
      </c>
      <c r="K245" s="167">
        <f>(J245)/2</f>
        <v>110.76923076923077</v>
      </c>
      <c r="L245" s="243">
        <f>L244/$L$220</f>
        <v>8.9724741556689705E-2</v>
      </c>
      <c r="M245" s="191"/>
      <c r="N245" s="149"/>
      <c r="O245" s="166"/>
      <c r="P245" s="168"/>
    </row>
    <row r="246" spans="1:16" ht="16.2" thickBot="1" x14ac:dyDescent="0.35">
      <c r="A246" s="157" t="s">
        <v>109</v>
      </c>
      <c r="B246" s="166">
        <f>$T$12</f>
        <v>100</v>
      </c>
      <c r="C246" s="54">
        <f>$U$12</f>
        <v>24</v>
      </c>
      <c r="D246" s="52">
        <f>1E+28</f>
        <v>9.9999999999999996E+27</v>
      </c>
      <c r="E246" s="176">
        <v>4.5999999999999996</v>
      </c>
      <c r="F246" s="208">
        <f t="shared" si="94"/>
        <v>2.1739130434782611E+25</v>
      </c>
      <c r="G246" s="208">
        <f>(F246)/2</f>
        <v>1.0869565217391305E+25</v>
      </c>
      <c r="H246" s="206"/>
      <c r="I246" s="180">
        <v>5.2</v>
      </c>
      <c r="J246" s="208">
        <f t="shared" si="95"/>
        <v>1.9230769230769229E+25</v>
      </c>
      <c r="K246" s="208">
        <f>(J246)/2</f>
        <v>9.6153846153846147E+24</v>
      </c>
      <c r="L246" s="178"/>
      <c r="M246" s="197"/>
      <c r="N246" s="150"/>
      <c r="O246" s="175"/>
      <c r="P246" s="178"/>
    </row>
    <row r="247" spans="1:16" ht="16.2" thickBot="1" x14ac:dyDescent="0.35">
      <c r="B247" s="395" t="s">
        <v>149</v>
      </c>
      <c r="C247" s="396"/>
      <c r="D247" s="396"/>
      <c r="E247" s="396"/>
      <c r="F247" s="396"/>
      <c r="G247" s="396"/>
      <c r="H247" s="396"/>
      <c r="I247" s="390"/>
      <c r="J247" s="390"/>
      <c r="K247" s="390"/>
      <c r="L247" s="390"/>
      <c r="M247" s="396"/>
      <c r="N247" s="396"/>
      <c r="O247" s="396"/>
      <c r="P247" s="397"/>
    </row>
    <row r="248" spans="1:16" ht="15.6" x14ac:dyDescent="0.3">
      <c r="A248" s="182" t="s">
        <v>107</v>
      </c>
      <c r="B248" s="160">
        <f>$V$9</f>
        <v>30</v>
      </c>
      <c r="C248" s="161">
        <f>$W$9</f>
        <v>80</v>
      </c>
      <c r="D248" s="161">
        <f>B248*C248^3/12</f>
        <v>1280000</v>
      </c>
      <c r="E248" s="161">
        <f>'Carichi unitari'!$M$5+0.6</f>
        <v>3.6</v>
      </c>
      <c r="F248" s="162">
        <f>D248/(100*E248)</f>
        <v>3555.5555555555557</v>
      </c>
      <c r="G248" s="161"/>
      <c r="H248" s="234">
        <f>12*'Carichi unitari'!$M$9*F248/E248^2/1000000/(1+0.5*(F248/G249+F248/G251))</f>
        <v>38.674351666858364</v>
      </c>
      <c r="I248" s="161">
        <f>'Carichi unitari'!$M$5+0.6</f>
        <v>3.6</v>
      </c>
      <c r="J248" s="162">
        <f>D248/(100*I248)</f>
        <v>3555.5555555555557</v>
      </c>
      <c r="K248" s="161"/>
      <c r="L248" s="163">
        <f>12*'Carichi unitari'!$M$9*J248/I248^2/1000000/(1+0.5*(J248/K249+J248/K251))</f>
        <v>35.750279918459384</v>
      </c>
      <c r="M248" s="190">
        <v>0</v>
      </c>
      <c r="N248" s="164"/>
      <c r="O248" s="165">
        <v>1</v>
      </c>
      <c r="P248" s="163"/>
    </row>
    <row r="249" spans="1:16" ht="15.6" x14ac:dyDescent="0.3">
      <c r="A249" s="183" t="s">
        <v>108</v>
      </c>
      <c r="B249" s="166">
        <f>$T$12</f>
        <v>100</v>
      </c>
      <c r="C249" s="54">
        <f>$U$12</f>
        <v>24</v>
      </c>
      <c r="D249" s="54">
        <f t="shared" ref="D249:D255" si="96">B249*C249^3/12</f>
        <v>115200</v>
      </c>
      <c r="E249" s="90">
        <v>4.5999999999999996</v>
      </c>
      <c r="F249" s="167">
        <f t="shared" ref="F249:F257" si="97">D249/(100*E249)</f>
        <v>250.43478260869568</v>
      </c>
      <c r="G249" s="167">
        <f>(F249+F250)/2</f>
        <v>1057.2826086956522</v>
      </c>
      <c r="H249" s="205"/>
      <c r="I249" s="179">
        <v>5.2</v>
      </c>
      <c r="J249" s="167">
        <f t="shared" ref="J249:J257" si="98">D249/(100*I249)</f>
        <v>221.53846153846155</v>
      </c>
      <c r="K249" s="167">
        <f>(J249+J250)/2</f>
        <v>935.28846153846143</v>
      </c>
      <c r="L249" s="243">
        <f>L248/$L$220</f>
        <v>0.7163828998654217</v>
      </c>
      <c r="M249" s="191"/>
      <c r="N249" s="149"/>
      <c r="O249" s="169"/>
      <c r="P249" s="168"/>
    </row>
    <row r="250" spans="1:16" ht="15.6" x14ac:dyDescent="0.3">
      <c r="A250" s="184"/>
      <c r="B250" s="166">
        <f>$T$9</f>
        <v>30</v>
      </c>
      <c r="C250" s="54">
        <f>$U$9</f>
        <v>70</v>
      </c>
      <c r="D250" s="54">
        <f t="shared" si="96"/>
        <v>857500</v>
      </c>
      <c r="E250" s="90">
        <v>4.5999999999999996</v>
      </c>
      <c r="F250" s="167">
        <f t="shared" si="97"/>
        <v>1864.130434782609</v>
      </c>
      <c r="G250" s="167"/>
      <c r="H250" s="205"/>
      <c r="I250" s="179">
        <v>5.2</v>
      </c>
      <c r="J250" s="167">
        <f t="shared" si="98"/>
        <v>1649.0384615384614</v>
      </c>
      <c r="K250" s="167"/>
      <c r="L250" s="168"/>
      <c r="M250" s="191"/>
      <c r="N250" s="149"/>
      <c r="O250" s="169"/>
      <c r="P250" s="168"/>
    </row>
    <row r="251" spans="1:16" ht="16.2" thickBot="1" x14ac:dyDescent="0.35">
      <c r="A251" s="184" t="s">
        <v>109</v>
      </c>
      <c r="B251" s="166">
        <f>$T$12</f>
        <v>100</v>
      </c>
      <c r="C251" s="54">
        <f>$U$12</f>
        <v>24</v>
      </c>
      <c r="D251" s="52">
        <f>1E+28</f>
        <v>9.9999999999999996E+27</v>
      </c>
      <c r="E251" s="90">
        <v>4.5999999999999996</v>
      </c>
      <c r="F251" s="210">
        <f t="shared" si="97"/>
        <v>2.1739130434782611E+25</v>
      </c>
      <c r="G251" s="210">
        <f>(F251+F252)/2</f>
        <v>2.1739130434782611E+25</v>
      </c>
      <c r="H251" s="205"/>
      <c r="I251" s="179">
        <v>5.2</v>
      </c>
      <c r="J251" s="210">
        <f t="shared" si="98"/>
        <v>1.9230769230769229E+25</v>
      </c>
      <c r="K251" s="210">
        <f>(J251+J252)/2</f>
        <v>1.9230769230769229E+25</v>
      </c>
      <c r="L251" s="168"/>
      <c r="M251" s="191"/>
      <c r="N251" s="149"/>
      <c r="O251" s="169"/>
      <c r="P251" s="168"/>
    </row>
    <row r="252" spans="1:16" ht="16.2" thickBot="1" x14ac:dyDescent="0.35">
      <c r="A252" s="185"/>
      <c r="B252" s="170">
        <f>$T$10</f>
        <v>30</v>
      </c>
      <c r="C252" s="171">
        <f>$U$10</f>
        <v>80</v>
      </c>
      <c r="D252" s="52">
        <f>1E+28</f>
        <v>9.9999999999999996E+27</v>
      </c>
      <c r="E252" s="144">
        <v>4.5999999999999996</v>
      </c>
      <c r="F252" s="209">
        <f t="shared" si="97"/>
        <v>2.1739130434782611E+25</v>
      </c>
      <c r="G252" s="209"/>
      <c r="H252" s="235"/>
      <c r="I252" s="236">
        <v>5.2</v>
      </c>
      <c r="J252" s="209">
        <f t="shared" si="98"/>
        <v>1.9230769230769229E+25</v>
      </c>
      <c r="K252" s="209"/>
      <c r="L252" s="173"/>
      <c r="M252" s="197"/>
      <c r="N252" s="150"/>
      <c r="O252" s="181"/>
      <c r="P252" s="178"/>
    </row>
    <row r="253" spans="1:16" ht="15.6" x14ac:dyDescent="0.3">
      <c r="A253" s="182" t="s">
        <v>107</v>
      </c>
      <c r="B253" s="160">
        <f>$W$9</f>
        <v>80</v>
      </c>
      <c r="C253" s="161">
        <f>$V$9</f>
        <v>30</v>
      </c>
      <c r="D253" s="161">
        <f t="shared" si="96"/>
        <v>180000</v>
      </c>
      <c r="E253" s="161">
        <f>'Carichi unitari'!$M$5+0.6</f>
        <v>3.6</v>
      </c>
      <c r="F253" s="162">
        <f t="shared" si="97"/>
        <v>500</v>
      </c>
      <c r="G253" s="162"/>
      <c r="H253" s="234">
        <f>12*'Carichi unitari'!$M$9*F253/E253^2/1000000/(1+0.5*(F253/G254+F253/G256))</f>
        <v>11.794469388320723</v>
      </c>
      <c r="I253" s="161">
        <f>'Carichi unitari'!$M$5+0.6</f>
        <v>3.6</v>
      </c>
      <c r="J253" s="162">
        <f t="shared" si="98"/>
        <v>500</v>
      </c>
      <c r="K253" s="162"/>
      <c r="L253" s="163">
        <f>12*'Carichi unitari'!$M$9*J253/I253^2/1000000/(1+0.5*(J253/K254+J253/K256))</f>
        <v>11.507429490819609</v>
      </c>
      <c r="M253" s="190">
        <v>4</v>
      </c>
      <c r="N253" s="164"/>
      <c r="O253" s="165">
        <v>1</v>
      </c>
      <c r="P253" s="163"/>
    </row>
    <row r="254" spans="1:16" ht="15.6" x14ac:dyDescent="0.3">
      <c r="A254" s="183" t="s">
        <v>108</v>
      </c>
      <c r="B254" s="166">
        <f>$T$12</f>
        <v>100</v>
      </c>
      <c r="C254" s="54">
        <f>$U$12</f>
        <v>24</v>
      </c>
      <c r="D254" s="54">
        <f t="shared" si="96"/>
        <v>115200</v>
      </c>
      <c r="E254" s="90">
        <v>4.5999999999999996</v>
      </c>
      <c r="F254" s="167">
        <f t="shared" si="97"/>
        <v>250.43478260869568</v>
      </c>
      <c r="G254" s="167">
        <f>(F254+F255)/2</f>
        <v>1057.2826086956522</v>
      </c>
      <c r="H254" s="205"/>
      <c r="I254" s="179">
        <v>5.2</v>
      </c>
      <c r="J254" s="167">
        <f t="shared" si="98"/>
        <v>221.53846153846155</v>
      </c>
      <c r="K254" s="167">
        <f>(J254+J255)/2</f>
        <v>935.28846153846143</v>
      </c>
      <c r="L254" s="243">
        <f>L253/$L$220</f>
        <v>0.23059192060685488</v>
      </c>
      <c r="M254" s="191"/>
      <c r="N254" s="149"/>
      <c r="O254" s="166"/>
      <c r="P254" s="168"/>
    </row>
    <row r="255" spans="1:16" x14ac:dyDescent="0.3">
      <c r="B255" s="166">
        <f>$T$9</f>
        <v>30</v>
      </c>
      <c r="C255" s="54">
        <f>$U$9</f>
        <v>70</v>
      </c>
      <c r="D255" s="54">
        <f t="shared" si="96"/>
        <v>857500</v>
      </c>
      <c r="E255" s="90">
        <v>4.5999999999999996</v>
      </c>
      <c r="F255" s="167">
        <f t="shared" si="97"/>
        <v>1864.130434782609</v>
      </c>
      <c r="G255" s="88"/>
      <c r="H255" s="239"/>
      <c r="I255" s="179">
        <v>5.2</v>
      </c>
      <c r="J255" s="167">
        <f t="shared" si="98"/>
        <v>1649.0384615384614</v>
      </c>
      <c r="K255" s="88"/>
      <c r="L255" s="108"/>
      <c r="M255" s="198"/>
      <c r="N255" s="108"/>
      <c r="O255" s="188"/>
      <c r="P255" s="108"/>
    </row>
    <row r="256" spans="1:16" ht="16.2" thickBot="1" x14ac:dyDescent="0.35">
      <c r="A256" s="186" t="s">
        <v>109</v>
      </c>
      <c r="B256" s="166">
        <f>$T$12</f>
        <v>100</v>
      </c>
      <c r="C256" s="54">
        <f>$U$12</f>
        <v>24</v>
      </c>
      <c r="D256" s="52">
        <f>1E+28</f>
        <v>9.9999999999999996E+27</v>
      </c>
      <c r="E256" s="90">
        <v>4.5999999999999996</v>
      </c>
      <c r="F256" s="210">
        <f t="shared" si="97"/>
        <v>2.1739130434782611E+25</v>
      </c>
      <c r="G256" s="210">
        <f>(F256+F257)/2</f>
        <v>2.1739130434782611E+25</v>
      </c>
      <c r="H256" s="205"/>
      <c r="I256" s="179">
        <v>5.2</v>
      </c>
      <c r="J256" s="210">
        <f t="shared" si="98"/>
        <v>1.9230769230769229E+25</v>
      </c>
      <c r="K256" s="210">
        <f>(J256+J257)/2</f>
        <v>1.9230769230769229E+25</v>
      </c>
      <c r="L256" s="168"/>
      <c r="M256" s="191"/>
      <c r="N256" s="149"/>
      <c r="O256" s="166"/>
      <c r="P256" s="168"/>
    </row>
    <row r="257" spans="1:21" ht="15" thickBot="1" x14ac:dyDescent="0.35">
      <c r="B257" s="175">
        <f>$T$10</f>
        <v>30</v>
      </c>
      <c r="C257" s="52">
        <f>$U$10</f>
        <v>80</v>
      </c>
      <c r="D257" s="52">
        <f>1E+28</f>
        <v>9.9999999999999996E+27</v>
      </c>
      <c r="E257" s="176">
        <v>4.5999999999999996</v>
      </c>
      <c r="F257" s="208">
        <f t="shared" si="97"/>
        <v>2.1739130434782611E+25</v>
      </c>
      <c r="G257" s="211"/>
      <c r="H257" s="240"/>
      <c r="I257" s="180">
        <v>5.2</v>
      </c>
      <c r="J257" s="208">
        <f t="shared" si="98"/>
        <v>1.9230769230769229E+25</v>
      </c>
      <c r="K257" s="211"/>
      <c r="L257" s="187"/>
      <c r="M257" s="199"/>
      <c r="N257" s="187"/>
      <c r="O257" s="189"/>
      <c r="P257" s="187"/>
    </row>
    <row r="260" spans="1:21" ht="18" x14ac:dyDescent="0.3">
      <c r="A260" s="386" t="s">
        <v>160</v>
      </c>
      <c r="B260" s="386"/>
      <c r="C260" s="386"/>
      <c r="D260" s="386"/>
      <c r="E260" s="386"/>
      <c r="F260" s="386"/>
      <c r="G260" s="386"/>
      <c r="H260" s="386"/>
      <c r="I260" s="386"/>
      <c r="J260" s="386"/>
    </row>
    <row r="261" spans="1:21" ht="15.6" x14ac:dyDescent="0.3">
      <c r="A261" s="377" t="s">
        <v>82</v>
      </c>
      <c r="B261" s="376" t="s">
        <v>153</v>
      </c>
      <c r="C261" s="376" t="s">
        <v>154</v>
      </c>
      <c r="D261" s="1"/>
      <c r="E261" s="1"/>
      <c r="F261" s="1"/>
      <c r="G261" s="1"/>
      <c r="H261" s="1"/>
      <c r="I261" s="1"/>
      <c r="J261" s="1"/>
    </row>
    <row r="262" spans="1:21" ht="15.6" x14ac:dyDescent="0.3">
      <c r="A262" s="377"/>
      <c r="B262" s="376"/>
      <c r="C262" s="376"/>
      <c r="D262" s="1"/>
      <c r="E262" s="1"/>
      <c r="F262" s="1"/>
      <c r="G262" s="1"/>
      <c r="H262" s="1"/>
      <c r="I262" s="1"/>
      <c r="J262" s="1"/>
    </row>
    <row r="263" spans="1:21" ht="15.6" x14ac:dyDescent="0.3">
      <c r="A263" s="214" t="s">
        <v>65</v>
      </c>
      <c r="B263" s="213">
        <f>'Ap. tipologi di pila '!N6</f>
        <v>305.97399348002</v>
      </c>
      <c r="C263" s="213">
        <f>'Ap. tipologi di pila '!P6</f>
        <v>295.57514354998716</v>
      </c>
      <c r="D263" s="1"/>
      <c r="E263" s="1"/>
      <c r="F263" s="1"/>
      <c r="G263" s="1"/>
      <c r="H263" s="1"/>
      <c r="I263" s="1"/>
      <c r="J263" s="1"/>
    </row>
    <row r="264" spans="1:21" ht="15.6" x14ac:dyDescent="0.3">
      <c r="A264" s="202">
        <v>5</v>
      </c>
      <c r="B264" s="213">
        <f>'Ap. tipologi di pila '!N49</f>
        <v>365.02040300594314</v>
      </c>
      <c r="C264" s="213">
        <f>'Ap. tipologi di pila '!P49</f>
        <v>354.01432727117185</v>
      </c>
      <c r="D264" s="1"/>
      <c r="E264" s="1"/>
      <c r="F264" s="1"/>
      <c r="G264" s="1"/>
      <c r="H264" s="1"/>
      <c r="I264" s="1"/>
      <c r="J264" s="1"/>
    </row>
    <row r="265" spans="1:21" ht="15.6" x14ac:dyDescent="0.3">
      <c r="A265" s="202">
        <v>4</v>
      </c>
      <c r="B265" s="213">
        <f>'Ap. tipologi di pila '!N92</f>
        <v>470.96294247128355</v>
      </c>
      <c r="C265" s="213">
        <f>'Ap. tipologi di pila '!P92</f>
        <v>455.72749950272754</v>
      </c>
      <c r="D265" s="1"/>
      <c r="E265" s="1"/>
      <c r="F265" s="1"/>
      <c r="G265" s="1"/>
      <c r="H265" s="1"/>
      <c r="I265" s="1"/>
      <c r="J265" s="1"/>
    </row>
    <row r="266" spans="1:21" ht="15.6" x14ac:dyDescent="0.3">
      <c r="A266" s="202">
        <v>3</v>
      </c>
      <c r="B266" s="213">
        <f>'Ap. tipologi di pila '!N135</f>
        <v>546.93047269169267</v>
      </c>
      <c r="C266" s="213">
        <f>'Ap. tipologi di pila '!P135</f>
        <v>527.16318732266973</v>
      </c>
      <c r="D266" s="1"/>
      <c r="E266" s="1"/>
      <c r="F266" s="1"/>
      <c r="G266" s="1"/>
      <c r="H266" s="1"/>
      <c r="I266" s="1"/>
      <c r="J266" s="1"/>
    </row>
    <row r="267" spans="1:21" ht="15.6" x14ac:dyDescent="0.3">
      <c r="A267" s="202">
        <v>2</v>
      </c>
      <c r="B267" s="213">
        <f>'Ap. tipologi di pila '!N178</f>
        <v>687.62417976391532</v>
      </c>
      <c r="C267" s="213">
        <f>'Ap. tipologi di pila '!P178</f>
        <v>659.81103476688793</v>
      </c>
      <c r="D267" s="1"/>
      <c r="E267" s="1"/>
      <c r="F267" s="1"/>
      <c r="G267" s="1"/>
      <c r="H267" s="1"/>
      <c r="I267" s="1"/>
      <c r="J267" s="1"/>
    </row>
    <row r="268" spans="1:21" ht="15.6" x14ac:dyDescent="0.3">
      <c r="A268" s="202">
        <v>1</v>
      </c>
      <c r="B268" s="213">
        <f>'Ap. tipologi di pila '!N220</f>
        <v>698.45698373303026</v>
      </c>
      <c r="C268" s="213">
        <f>'Ap. tipologi di pila '!P220</f>
        <v>643.34016806831823</v>
      </c>
      <c r="D268" s="1"/>
      <c r="E268" s="1"/>
      <c r="F268" s="1"/>
      <c r="G268" s="1"/>
      <c r="H268" s="1"/>
      <c r="I268" s="1"/>
      <c r="J268" s="1"/>
    </row>
    <row r="269" spans="1:21" ht="15.6" x14ac:dyDescent="0.3">
      <c r="A269" s="1"/>
      <c r="B269" s="203"/>
      <c r="C269" s="203"/>
      <c r="D269" s="1"/>
      <c r="E269" s="1"/>
      <c r="F269" s="1"/>
      <c r="G269" s="1"/>
      <c r="H269" s="1"/>
      <c r="I269" s="1"/>
      <c r="J269" s="1"/>
    </row>
    <row r="270" spans="1:21" ht="16.2" thickBot="1" x14ac:dyDescent="0.35">
      <c r="A270" s="375" t="s">
        <v>113</v>
      </c>
      <c r="B270" s="375"/>
      <c r="C270" s="375"/>
      <c r="D270" s="375"/>
      <c r="E270" s="375"/>
      <c r="F270" s="375"/>
      <c r="G270" s="375"/>
      <c r="H270" s="375"/>
      <c r="I270" s="375"/>
      <c r="J270" s="375"/>
      <c r="L270" s="375" t="s">
        <v>138</v>
      </c>
      <c r="M270" s="375"/>
      <c r="N270" s="375"/>
      <c r="O270" s="375"/>
      <c r="P270" s="375"/>
      <c r="Q270" s="375"/>
      <c r="R270" s="375"/>
      <c r="S270" s="375"/>
      <c r="T270" s="375"/>
      <c r="U270" s="375"/>
    </row>
    <row r="271" spans="1:21" x14ac:dyDescent="0.3">
      <c r="A271" s="369" t="s">
        <v>82</v>
      </c>
      <c r="B271" s="362" t="s">
        <v>78</v>
      </c>
      <c r="C271" s="371" t="s">
        <v>79</v>
      </c>
      <c r="D271" s="373" t="s">
        <v>191</v>
      </c>
      <c r="E271" s="373" t="s">
        <v>155</v>
      </c>
      <c r="F271" s="373" t="s">
        <v>151</v>
      </c>
      <c r="G271" s="362" t="s">
        <v>69</v>
      </c>
      <c r="H271" s="364" t="s">
        <v>159</v>
      </c>
      <c r="I271" s="364" t="s">
        <v>156</v>
      </c>
      <c r="J271" s="367" t="s">
        <v>158</v>
      </c>
      <c r="L271" s="369" t="s">
        <v>82</v>
      </c>
      <c r="M271" s="362" t="s">
        <v>78</v>
      </c>
      <c r="N271" s="371" t="s">
        <v>79</v>
      </c>
      <c r="O271" s="373" t="s">
        <v>154</v>
      </c>
      <c r="P271" s="373" t="s">
        <v>155</v>
      </c>
      <c r="Q271" s="373" t="s">
        <v>151</v>
      </c>
      <c r="R271" s="362" t="s">
        <v>69</v>
      </c>
      <c r="S271" s="364" t="s">
        <v>159</v>
      </c>
      <c r="T271" s="364" t="s">
        <v>156</v>
      </c>
      <c r="U271" s="367" t="s">
        <v>158</v>
      </c>
    </row>
    <row r="272" spans="1:21" ht="21.6" customHeight="1" thickBot="1" x14ac:dyDescent="0.35">
      <c r="A272" s="370"/>
      <c r="B272" s="363"/>
      <c r="C272" s="372"/>
      <c r="D272" s="374"/>
      <c r="E272" s="374"/>
      <c r="F272" s="374"/>
      <c r="G272" s="363"/>
      <c r="H272" s="365"/>
      <c r="I272" s="365"/>
      <c r="J272" s="368"/>
      <c r="L272" s="370"/>
      <c r="M272" s="363"/>
      <c r="N272" s="372"/>
      <c r="O272" s="374"/>
      <c r="P272" s="374"/>
      <c r="Q272" s="374"/>
      <c r="R272" s="363"/>
      <c r="S272" s="365"/>
      <c r="T272" s="365"/>
      <c r="U272" s="368"/>
    </row>
    <row r="273" spans="1:21" ht="16.2" thickBot="1" x14ac:dyDescent="0.35">
      <c r="A273" s="214" t="s">
        <v>65</v>
      </c>
      <c r="B273" s="61">
        <f>' Masse e forze'!I9</f>
        <v>702.52801374707826</v>
      </c>
      <c r="C273" s="61">
        <f>' Masse e forze'!J9</f>
        <v>702.52801374707826</v>
      </c>
      <c r="D273" s="61">
        <f t="shared" ref="D273:D278" si="99">B263</f>
        <v>305.97399348002</v>
      </c>
      <c r="E273" s="61">
        <f t="shared" ref="E273:E278" si="100">C273/D273</f>
        <v>2.2960383193251785</v>
      </c>
      <c r="F273" s="61">
        <f>E273+F274</f>
        <v>22.016621200297088</v>
      </c>
      <c r="G273" s="61">
        <f>' Masse e forze'!G9</f>
        <v>371.55963302752292</v>
      </c>
      <c r="H273" s="61">
        <f t="shared" ref="H273:H278" si="101">B273*F273</f>
        <v>15467.293161266527</v>
      </c>
      <c r="I273" s="61">
        <f t="shared" ref="I273:I278" si="102">G273/1000*F273^2</f>
        <v>180.10669878562874</v>
      </c>
      <c r="J273" s="216">
        <f>2*3.14*SQRT(I279/H279)</f>
        <v>0.69168719326872274</v>
      </c>
      <c r="L273" s="214" t="s">
        <v>65</v>
      </c>
      <c r="M273" s="61">
        <f t="shared" ref="M273:N278" si="103">B273</f>
        <v>702.52801374707826</v>
      </c>
      <c r="N273" s="61">
        <f t="shared" si="103"/>
        <v>702.52801374707826</v>
      </c>
      <c r="O273" s="61">
        <f t="shared" ref="O273:O278" si="104">C263</f>
        <v>295.57514354998716</v>
      </c>
      <c r="P273" s="61">
        <f t="shared" ref="P273:P278" si="105">N273/O273</f>
        <v>2.3768169586569714</v>
      </c>
      <c r="Q273" s="61">
        <f>P273+Q274</f>
        <v>23.001332339171505</v>
      </c>
      <c r="R273" s="61">
        <f t="shared" ref="R273:R278" si="106">G273</f>
        <v>371.55963302752292</v>
      </c>
      <c r="S273" s="61">
        <f t="shared" ref="S273:S278" si="107">M273*Q273</f>
        <v>16159.080321774594</v>
      </c>
      <c r="T273" s="61">
        <f t="shared" ref="T273:T278" si="108">R273/1000*Q273^2</f>
        <v>196.57781852999253</v>
      </c>
      <c r="U273" s="216">
        <f>2*3.14*SQRT(T279/S279)</f>
        <v>0.70822744189848164</v>
      </c>
    </row>
    <row r="274" spans="1:21" ht="15.6" x14ac:dyDescent="0.3">
      <c r="A274" s="202">
        <v>5</v>
      </c>
      <c r="B274" s="61">
        <f>' Masse e forze'!I10</f>
        <v>669.27096967646708</v>
      </c>
      <c r="C274" s="61">
        <f>' Masse e forze'!J10</f>
        <v>1371.7989834235455</v>
      </c>
      <c r="D274" s="61">
        <f t="shared" si="99"/>
        <v>365.02040300594314</v>
      </c>
      <c r="E274" s="61">
        <f t="shared" si="100"/>
        <v>3.7581433041188395</v>
      </c>
      <c r="F274" s="61">
        <f>E274+F275</f>
        <v>19.720582880971911</v>
      </c>
      <c r="G274" s="61">
        <f>' Masse e forze'!G10</f>
        <v>423.03771661569823</v>
      </c>
      <c r="H274" s="61">
        <f t="shared" si="101"/>
        <v>13198.413627333208</v>
      </c>
      <c r="I274" s="61">
        <f t="shared" si="102"/>
        <v>164.51995566115411</v>
      </c>
      <c r="J274" s="1"/>
      <c r="L274" s="202">
        <v>5</v>
      </c>
      <c r="M274" s="61">
        <f t="shared" si="103"/>
        <v>669.27096967646708</v>
      </c>
      <c r="N274" s="61">
        <f t="shared" si="103"/>
        <v>1371.7989834235455</v>
      </c>
      <c r="O274" s="61">
        <f t="shared" si="104"/>
        <v>354.01432727117185</v>
      </c>
      <c r="P274" s="61">
        <f t="shared" si="105"/>
        <v>3.8749815409949764</v>
      </c>
      <c r="Q274" s="61">
        <f>P274+Q275</f>
        <v>20.624515380514534</v>
      </c>
      <c r="R274" s="61">
        <f t="shared" si="106"/>
        <v>423.03771661569823</v>
      </c>
      <c r="S274" s="61">
        <f t="shared" si="107"/>
        <v>13803.389407824172</v>
      </c>
      <c r="T274" s="61">
        <f t="shared" si="108"/>
        <v>179.94782201085465</v>
      </c>
      <c r="U274" s="1"/>
    </row>
    <row r="275" spans="1:21" ht="15.6" x14ac:dyDescent="0.3">
      <c r="A275" s="202">
        <v>4</v>
      </c>
      <c r="B275" s="61">
        <f>' Masse e forze'!I11</f>
        <v>538.68151217861976</v>
      </c>
      <c r="C275" s="61">
        <f>' Masse e forze'!J11</f>
        <v>1910.4804956021653</v>
      </c>
      <c r="D275" s="61">
        <f t="shared" si="99"/>
        <v>470.96294247128355</v>
      </c>
      <c r="E275" s="61">
        <f t="shared" si="100"/>
        <v>4.0565410212049855</v>
      </c>
      <c r="F275" s="61">
        <f>E275+F276</f>
        <v>15.962439576853072</v>
      </c>
      <c r="G275" s="61">
        <f>' Masse e forze'!G11</f>
        <v>423.03771661569823</v>
      </c>
      <c r="H275" s="61">
        <f t="shared" si="101"/>
        <v>8598.6710893190593</v>
      </c>
      <c r="I275" s="61">
        <f t="shared" si="102"/>
        <v>107.78978904846522</v>
      </c>
      <c r="J275" s="1"/>
      <c r="L275" s="202">
        <v>4</v>
      </c>
      <c r="M275" s="61">
        <f t="shared" si="103"/>
        <v>538.68151217861976</v>
      </c>
      <c r="N275" s="61">
        <f t="shared" si="103"/>
        <v>1910.4804956021653</v>
      </c>
      <c r="O275" s="61">
        <f t="shared" si="104"/>
        <v>455.72749950272754</v>
      </c>
      <c r="P275" s="61">
        <f t="shared" si="105"/>
        <v>4.1921553948067842</v>
      </c>
      <c r="Q275" s="61">
        <f>P275+Q276</f>
        <v>16.749533839519557</v>
      </c>
      <c r="R275" s="61">
        <f t="shared" si="106"/>
        <v>423.03771661569823</v>
      </c>
      <c r="S275" s="61">
        <f t="shared" si="107"/>
        <v>9022.6642169593579</v>
      </c>
      <c r="T275" s="61">
        <f t="shared" si="108"/>
        <v>118.68191314383533</v>
      </c>
      <c r="U275" s="1"/>
    </row>
    <row r="276" spans="1:21" ht="15.6" x14ac:dyDescent="0.3">
      <c r="A276" s="202">
        <v>3</v>
      </c>
      <c r="B276" s="61">
        <f>' Masse e forze'!I12</f>
        <v>408.09205468077261</v>
      </c>
      <c r="C276" s="61">
        <f>' Masse e forze'!J12</f>
        <v>2318.5725502829378</v>
      </c>
      <c r="D276" s="61">
        <f t="shared" si="99"/>
        <v>546.93047269169267</v>
      </c>
      <c r="E276" s="61">
        <f t="shared" si="100"/>
        <v>4.2392455093463557</v>
      </c>
      <c r="F276" s="61">
        <f>E276+F277</f>
        <v>11.905898555648086</v>
      </c>
      <c r="G276" s="61">
        <f>' Masse e forze'!G12</f>
        <v>423.03771661569823</v>
      </c>
      <c r="H276" s="61">
        <f t="shared" si="101"/>
        <v>4858.7026043952701</v>
      </c>
      <c r="I276" s="61">
        <f t="shared" si="102"/>
        <v>59.965774182685038</v>
      </c>
      <c r="J276" s="1"/>
      <c r="L276" s="202">
        <v>3</v>
      </c>
      <c r="M276" s="61">
        <f t="shared" si="103"/>
        <v>408.09205468077261</v>
      </c>
      <c r="N276" s="61">
        <f t="shared" si="103"/>
        <v>2318.5725502829378</v>
      </c>
      <c r="O276" s="61">
        <f t="shared" si="104"/>
        <v>527.16318732266973</v>
      </c>
      <c r="P276" s="61">
        <f t="shared" si="105"/>
        <v>4.3982064871759903</v>
      </c>
      <c r="Q276" s="61">
        <f>P276+Q277</f>
        <v>12.557378444712773</v>
      </c>
      <c r="R276" s="61">
        <f t="shared" si="106"/>
        <v>423.03771661569823</v>
      </c>
      <c r="S276" s="61">
        <f t="shared" si="107"/>
        <v>5124.5663709068804</v>
      </c>
      <c r="T276" s="61">
        <f t="shared" si="108"/>
        <v>66.707867138176198</v>
      </c>
      <c r="U276" s="1"/>
    </row>
    <row r="277" spans="1:21" ht="15.6" x14ac:dyDescent="0.3">
      <c r="A277" s="202">
        <v>2</v>
      </c>
      <c r="B277" s="61">
        <f>' Masse e forze'!I13</f>
        <v>277.5025971829254</v>
      </c>
      <c r="C277" s="61">
        <f>' Masse e forze'!J13</f>
        <v>2596.0751474658632</v>
      </c>
      <c r="D277" s="61">
        <f t="shared" si="99"/>
        <v>687.62417976391532</v>
      </c>
      <c r="E277" s="61">
        <f t="shared" si="100"/>
        <v>3.7754273684168345</v>
      </c>
      <c r="F277" s="61">
        <f>E277+F278</f>
        <v>7.6666530463017306</v>
      </c>
      <c r="G277" s="61">
        <f>' Masse e forze'!G13</f>
        <v>423.03771661569823</v>
      </c>
      <c r="H277" s="61">
        <f t="shared" si="101"/>
        <v>2127.516132049117</v>
      </c>
      <c r="I277" s="61">
        <f t="shared" si="102"/>
        <v>24.865128549370596</v>
      </c>
      <c r="J277" s="1"/>
      <c r="L277" s="202">
        <v>2</v>
      </c>
      <c r="M277" s="61">
        <f t="shared" si="103"/>
        <v>277.5025971829254</v>
      </c>
      <c r="N277" s="61">
        <f t="shared" si="103"/>
        <v>2596.0751474658632</v>
      </c>
      <c r="O277" s="61">
        <f t="shared" si="104"/>
        <v>659.81103476688793</v>
      </c>
      <c r="P277" s="61">
        <f t="shared" si="105"/>
        <v>3.934573704701771</v>
      </c>
      <c r="Q277" s="61">
        <f>P277+Q278</f>
        <v>8.1591719575367829</v>
      </c>
      <c r="R277" s="61">
        <f t="shared" si="106"/>
        <v>423.03771661569823</v>
      </c>
      <c r="S277" s="61">
        <f t="shared" si="107"/>
        <v>2264.1914090785508</v>
      </c>
      <c r="T277" s="61">
        <f t="shared" si="108"/>
        <v>28.162503688635745</v>
      </c>
      <c r="U277" s="1"/>
    </row>
    <row r="278" spans="1:21" ht="15.6" x14ac:dyDescent="0.3">
      <c r="A278" s="202">
        <v>1</v>
      </c>
      <c r="B278" s="61">
        <f>' Masse e forze'!I14</f>
        <v>121.77860253413705</v>
      </c>
      <c r="C278" s="61">
        <f>' Masse e forze'!J14</f>
        <v>2717.8537500000002</v>
      </c>
      <c r="D278" s="61">
        <f t="shared" si="99"/>
        <v>698.45698373303026</v>
      </c>
      <c r="E278" s="61">
        <f t="shared" si="100"/>
        <v>3.8912256778848957</v>
      </c>
      <c r="F278" s="61">
        <f>E278</f>
        <v>3.8912256778848957</v>
      </c>
      <c r="G278" s="61">
        <f>' Masse e forze'!G14</f>
        <v>350.66258919469925</v>
      </c>
      <c r="H278" s="61">
        <f t="shared" si="101"/>
        <v>473.86802519777274</v>
      </c>
      <c r="I278" s="61">
        <f t="shared" si="102"/>
        <v>5.3096057319300538</v>
      </c>
      <c r="J278" s="1"/>
      <c r="L278" s="202">
        <v>1</v>
      </c>
      <c r="M278" s="61">
        <f t="shared" si="103"/>
        <v>121.77860253413705</v>
      </c>
      <c r="N278" s="61">
        <f t="shared" si="103"/>
        <v>2717.8537500000002</v>
      </c>
      <c r="O278" s="61">
        <f t="shared" si="104"/>
        <v>643.34016806831823</v>
      </c>
      <c r="P278" s="61">
        <f t="shared" si="105"/>
        <v>4.2245982528350119</v>
      </c>
      <c r="Q278" s="61">
        <f>P278</f>
        <v>4.2245982528350119</v>
      </c>
      <c r="R278" s="61">
        <f t="shared" si="106"/>
        <v>350.66258919469925</v>
      </c>
      <c r="S278" s="61">
        <f t="shared" si="107"/>
        <v>514.46567149840473</v>
      </c>
      <c r="T278" s="61">
        <f t="shared" si="108"/>
        <v>6.2583560212667493</v>
      </c>
      <c r="U278" s="1"/>
    </row>
    <row r="279" spans="1:21" ht="15.6" x14ac:dyDescent="0.3">
      <c r="A279" s="82" t="s">
        <v>157</v>
      </c>
      <c r="B279" s="67"/>
      <c r="C279" s="67"/>
      <c r="D279" s="212"/>
      <c r="E279" s="212"/>
      <c r="F279" s="212"/>
      <c r="G279" s="67"/>
      <c r="H279" s="61">
        <f>H273+H274+H275+H276+H277+H278</f>
        <v>44724.464639560952</v>
      </c>
      <c r="I279" s="61">
        <f>I273+I274+I275+I276+I277+I278</f>
        <v>542.55695195923386</v>
      </c>
      <c r="J279" s="1"/>
      <c r="L279" s="82" t="s">
        <v>157</v>
      </c>
      <c r="M279" s="67"/>
      <c r="N279" s="67"/>
      <c r="O279" s="212"/>
      <c r="P279" s="212"/>
      <c r="Q279" s="212"/>
      <c r="R279" s="67"/>
      <c r="S279" s="61">
        <f>S273+S274+S275+S276+S277+S278</f>
        <v>46888.357398041961</v>
      </c>
      <c r="T279" s="61">
        <f>T273+T274+T275+T276+T277+T278</f>
        <v>596.33628053276129</v>
      </c>
      <c r="U279" s="1"/>
    </row>
    <row r="280" spans="1:21" ht="15.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2" spans="1:21" ht="18" x14ac:dyDescent="0.3">
      <c r="A282" s="386" t="s">
        <v>161</v>
      </c>
      <c r="B282" s="386"/>
      <c r="C282" s="386"/>
      <c r="D282" s="386"/>
      <c r="E282" s="386"/>
      <c r="F282" s="386"/>
      <c r="G282" s="386"/>
      <c r="H282" s="386"/>
      <c r="I282" s="386"/>
      <c r="J282" s="386"/>
    </row>
    <row r="284" spans="1:21" x14ac:dyDescent="0.3">
      <c r="A284" s="377" t="s">
        <v>162</v>
      </c>
      <c r="B284" s="387" t="s">
        <v>163</v>
      </c>
      <c r="C284" s="387" t="s">
        <v>164</v>
      </c>
      <c r="E284" s="377" t="s">
        <v>166</v>
      </c>
      <c r="F284" s="377" t="s">
        <v>165</v>
      </c>
    </row>
    <row r="285" spans="1:21" x14ac:dyDescent="0.3">
      <c r="A285" s="377"/>
      <c r="B285" s="387"/>
      <c r="C285" s="387"/>
      <c r="E285" s="377"/>
      <c r="F285" s="377"/>
    </row>
    <row r="286" spans="1:21" ht="15.6" x14ac:dyDescent="0.3">
      <c r="A286" s="214" t="s">
        <v>65</v>
      </c>
      <c r="B286" s="217">
        <f>B263/(MAX(H6:H43))</f>
        <v>14.542886948456555</v>
      </c>
      <c r="C286" s="217">
        <f>C263/(MAX(L6:L43))</f>
        <v>15.262154309386929</v>
      </c>
      <c r="E286" s="219">
        <f>C273/B286</f>
        <v>48.307328265495315</v>
      </c>
      <c r="F286" s="219">
        <f>C273/C286</f>
        <v>46.03072407117461</v>
      </c>
    </row>
    <row r="287" spans="1:21" ht="15.6" x14ac:dyDescent="0.3">
      <c r="A287" s="214">
        <v>5</v>
      </c>
      <c r="B287" s="217">
        <f>B264/(MAX(H49:H86))</f>
        <v>14.283220472707573</v>
      </c>
      <c r="C287" s="217">
        <f>C264/(MAX(L49:L86))</f>
        <v>14.918134614225519</v>
      </c>
      <c r="E287" s="219">
        <f t="shared" ref="E287:E291" si="109">C274/B287</f>
        <v>96.042694716137987</v>
      </c>
      <c r="F287" s="219">
        <f t="shared" ref="F287:F291" si="110">C274/C287</f>
        <v>91.9551283654081</v>
      </c>
    </row>
    <row r="288" spans="1:21" ht="15.6" x14ac:dyDescent="0.3">
      <c r="A288" s="214">
        <v>4</v>
      </c>
      <c r="B288" s="217">
        <f>B265/(MAX(H92:H129))</f>
        <v>13.617322234202769</v>
      </c>
      <c r="C288" s="217">
        <f>C265/(MAX(L92:L129))</f>
        <v>14.294593646736626</v>
      </c>
      <c r="E288" s="219">
        <f t="shared" si="109"/>
        <v>140.29781059330386</v>
      </c>
      <c r="F288" s="219">
        <f t="shared" si="110"/>
        <v>133.65056347987317</v>
      </c>
    </row>
    <row r="289" spans="1:8" ht="15.6" x14ac:dyDescent="0.3">
      <c r="A289" s="214">
        <v>3</v>
      </c>
      <c r="B289" s="217">
        <f>B266/(MAX(H135:H172))</f>
        <v>13.4772334721122</v>
      </c>
      <c r="C289" s="217">
        <f>C266/(MAX(L135:L172))</f>
        <v>13.989377488005543</v>
      </c>
      <c r="E289" s="219">
        <f t="shared" si="109"/>
        <v>172.03623837790227</v>
      </c>
      <c r="F289" s="219">
        <f t="shared" si="110"/>
        <v>165.73807892959326</v>
      </c>
    </row>
    <row r="290" spans="1:8" ht="15.6" x14ac:dyDescent="0.3">
      <c r="A290" s="214">
        <v>2</v>
      </c>
      <c r="B290" s="217">
        <f>B267/(MAX(H178:H215))</f>
        <v>13.000442711923201</v>
      </c>
      <c r="C290" s="217">
        <f>C267/(MAX(L178:L215))</f>
        <v>13.518864189593401</v>
      </c>
      <c r="E290" s="219">
        <f t="shared" si="109"/>
        <v>199.69128782706022</v>
      </c>
      <c r="F290" s="219">
        <f t="shared" si="110"/>
        <v>192.03352523241406</v>
      </c>
    </row>
    <row r="291" spans="1:8" ht="15.6" x14ac:dyDescent="0.3">
      <c r="A291" s="214">
        <v>1</v>
      </c>
      <c r="B291" s="217">
        <f>B268/(MAX(H220:H257))</f>
        <v>13.158248861601122</v>
      </c>
      <c r="C291" s="217">
        <f>C268/(MAX(L220:L257))</f>
        <v>12.891588436562669</v>
      </c>
      <c r="E291" s="219">
        <f t="shared" si="109"/>
        <v>206.55132598467108</v>
      </c>
      <c r="F291" s="219">
        <f t="shared" si="110"/>
        <v>210.8238068081447</v>
      </c>
    </row>
    <row r="292" spans="1:8" x14ac:dyDescent="0.3">
      <c r="A292" t="s">
        <v>192</v>
      </c>
      <c r="B292" s="218">
        <f>(B286+B287+B288+B289+B290+B291)/6</f>
        <v>13.679892450167237</v>
      </c>
      <c r="C292" s="218">
        <f>(C286+C287+C288+C289+C290+C291)/6</f>
        <v>14.145785447418447</v>
      </c>
    </row>
    <row r="294" spans="1:8" ht="15.6" customHeight="1" x14ac:dyDescent="0.3">
      <c r="B294" s="118"/>
      <c r="C294" s="118"/>
      <c r="D294" s="66"/>
      <c r="E294" s="118"/>
      <c r="F294" s="409"/>
      <c r="G294" s="118"/>
      <c r="H294" s="118"/>
    </row>
    <row r="295" spans="1:8" ht="15.6" x14ac:dyDescent="0.3">
      <c r="B295" s="118"/>
      <c r="C295" s="118"/>
      <c r="D295" s="66"/>
      <c r="E295" s="118"/>
      <c r="F295" s="409"/>
      <c r="G295" s="118" t="s">
        <v>193</v>
      </c>
      <c r="H295" s="118"/>
    </row>
    <row r="296" spans="1:8" ht="15.6" x14ac:dyDescent="0.3">
      <c r="B296" s="118"/>
      <c r="C296" s="118"/>
      <c r="D296" s="66"/>
      <c r="E296" s="118">
        <v>63.113264068104989</v>
      </c>
      <c r="F296" s="66">
        <v>75.735916881725984</v>
      </c>
      <c r="G296" s="118"/>
      <c r="H296" s="118"/>
    </row>
    <row r="297" spans="1:8" ht="15.6" x14ac:dyDescent="0.3">
      <c r="B297" s="118"/>
      <c r="C297" s="118"/>
      <c r="D297" s="66"/>
      <c r="E297" s="118">
        <v>122.50556472176388</v>
      </c>
      <c r="F297" s="66">
        <v>147.00667766611664</v>
      </c>
      <c r="G297" s="118"/>
      <c r="H297" s="118"/>
    </row>
    <row r="298" spans="1:8" ht="15.6" x14ac:dyDescent="0.3">
      <c r="B298" s="118"/>
      <c r="C298" s="118"/>
      <c r="D298" s="66"/>
      <c r="E298" s="118">
        <v>170.30912378446493</v>
      </c>
      <c r="F298" s="66">
        <v>204.3709485413579</v>
      </c>
      <c r="G298" s="118"/>
      <c r="H298" s="118"/>
    </row>
    <row r="299" spans="1:8" ht="15.6" x14ac:dyDescent="0.3">
      <c r="B299" s="118"/>
      <c r="C299" s="118"/>
      <c r="D299" s="66"/>
      <c r="E299" s="118">
        <v>206.52394125620816</v>
      </c>
      <c r="F299" s="66">
        <v>247.82872950744979</v>
      </c>
      <c r="G299" s="118"/>
      <c r="H299" s="118"/>
    </row>
    <row r="300" spans="1:8" x14ac:dyDescent="0.3">
      <c r="B300" s="118"/>
      <c r="C300" s="118"/>
      <c r="D300" s="118"/>
      <c r="E300" s="118">
        <v>231.15001713699357</v>
      </c>
      <c r="F300" s="118">
        <v>277.38002056439228</v>
      </c>
      <c r="G300" s="118"/>
      <c r="H300" s="118"/>
    </row>
    <row r="301" spans="1:8" x14ac:dyDescent="0.3">
      <c r="B301" s="118"/>
      <c r="C301" s="118"/>
      <c r="D301" s="118"/>
      <c r="E301" s="118">
        <v>242.39668141592915</v>
      </c>
      <c r="F301" s="118">
        <v>290.87601769911498</v>
      </c>
      <c r="G301" s="118"/>
      <c r="H301" s="118"/>
    </row>
  </sheetData>
  <mergeCells count="86">
    <mergeCell ref="F294:F295"/>
    <mergeCell ref="B219:P219"/>
    <mergeCell ref="B226:P226"/>
    <mergeCell ref="B233:P233"/>
    <mergeCell ref="B240:P240"/>
    <mergeCell ref="B247:P247"/>
    <mergeCell ref="L270:U270"/>
    <mergeCell ref="L271:L272"/>
    <mergeCell ref="U271:U272"/>
    <mergeCell ref="J271:J272"/>
    <mergeCell ref="G271:G272"/>
    <mergeCell ref="H271:H272"/>
    <mergeCell ref="I271:I272"/>
    <mergeCell ref="Q271:Q272"/>
    <mergeCell ref="P271:P272"/>
    <mergeCell ref="O271:O272"/>
    <mergeCell ref="B191:P191"/>
    <mergeCell ref="B198:P198"/>
    <mergeCell ref="B205:P205"/>
    <mergeCell ref="B217:H217"/>
    <mergeCell ref="M217:N217"/>
    <mergeCell ref="O217:P217"/>
    <mergeCell ref="B175:H175"/>
    <mergeCell ref="M175:N175"/>
    <mergeCell ref="O175:P175"/>
    <mergeCell ref="B177:P177"/>
    <mergeCell ref="B184:P184"/>
    <mergeCell ref="B134:P134"/>
    <mergeCell ref="B141:P141"/>
    <mergeCell ref="B148:P148"/>
    <mergeCell ref="B155:P155"/>
    <mergeCell ref="B162:P162"/>
    <mergeCell ref="B105:P105"/>
    <mergeCell ref="B112:P112"/>
    <mergeCell ref="B119:P119"/>
    <mergeCell ref="B132:H132"/>
    <mergeCell ref="M132:N132"/>
    <mergeCell ref="O132:P132"/>
    <mergeCell ref="B89:H89"/>
    <mergeCell ref="M89:N89"/>
    <mergeCell ref="O89:P89"/>
    <mergeCell ref="B91:P91"/>
    <mergeCell ref="B98:P98"/>
    <mergeCell ref="B76:P76"/>
    <mergeCell ref="B46:H46"/>
    <mergeCell ref="M46:N46"/>
    <mergeCell ref="O46:P46"/>
    <mergeCell ref="B48:P48"/>
    <mergeCell ref="B55:P55"/>
    <mergeCell ref="C271:C272"/>
    <mergeCell ref="S3:S4"/>
    <mergeCell ref="T3:U4"/>
    <mergeCell ref="V3:W4"/>
    <mergeCell ref="B19:P19"/>
    <mergeCell ref="B26:P26"/>
    <mergeCell ref="T14:T15"/>
    <mergeCell ref="U14:U15"/>
    <mergeCell ref="B33:P33"/>
    <mergeCell ref="M3:N3"/>
    <mergeCell ref="O3:P3"/>
    <mergeCell ref="B5:P5"/>
    <mergeCell ref="B12:P12"/>
    <mergeCell ref="B3:H3"/>
    <mergeCell ref="B62:P62"/>
    <mergeCell ref="B69:P69"/>
    <mergeCell ref="N271:N272"/>
    <mergeCell ref="M271:M272"/>
    <mergeCell ref="T271:T272"/>
    <mergeCell ref="S271:S272"/>
    <mergeCell ref="R271:R272"/>
    <mergeCell ref="A260:J260"/>
    <mergeCell ref="A282:J282"/>
    <mergeCell ref="A284:A285"/>
    <mergeCell ref="B284:B285"/>
    <mergeCell ref="C284:C285"/>
    <mergeCell ref="E284:E285"/>
    <mergeCell ref="F284:F285"/>
    <mergeCell ref="D271:D272"/>
    <mergeCell ref="E271:E272"/>
    <mergeCell ref="F271:F272"/>
    <mergeCell ref="A270:J270"/>
    <mergeCell ref="A261:A262"/>
    <mergeCell ref="B261:B262"/>
    <mergeCell ref="C261:C262"/>
    <mergeCell ref="A271:A272"/>
    <mergeCell ref="B271:B272"/>
  </mergeCells>
  <pageMargins left="0.7" right="0.7" top="0.75" bottom="0.75" header="0.3" footer="0.3"/>
  <pageSetup paperSize="9" orientation="portrait" horizontalDpi="360" verticalDpi="360" r:id="rId1"/>
  <ignoredErrors>
    <ignoredError sqref="B30:C30 B36:C36 B41:C41 C16" formula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25"/>
  <sheetViews>
    <sheetView topLeftCell="A40" zoomScale="80" zoomScaleNormal="80" workbookViewId="0">
      <selection activeCell="AN4" sqref="AN4"/>
    </sheetView>
  </sheetViews>
  <sheetFormatPr defaultRowHeight="14.4" x14ac:dyDescent="0.3"/>
  <cols>
    <col min="2" max="2" width="5.6640625" customWidth="1"/>
    <col min="4" max="4" width="6.109375" customWidth="1"/>
    <col min="6" max="6" width="4.33203125" customWidth="1"/>
    <col min="8" max="8" width="4.5546875" customWidth="1"/>
    <col min="10" max="10" width="5.5546875" customWidth="1"/>
    <col min="12" max="12" width="4" customWidth="1"/>
    <col min="14" max="14" width="6.109375" customWidth="1"/>
    <col min="15" max="15" width="9.88671875" customWidth="1"/>
    <col min="16" max="16" width="7.88671875" customWidth="1"/>
    <col min="17" max="17" width="10" customWidth="1"/>
    <col min="18" max="18" width="7.44140625" customWidth="1"/>
    <col min="20" max="20" width="7.77734375" customWidth="1"/>
    <col min="22" max="22" width="4.5546875" customWidth="1"/>
    <col min="24" max="24" width="5" customWidth="1"/>
    <col min="26" max="26" width="4.5546875" customWidth="1"/>
    <col min="28" max="28" width="4.6640625" customWidth="1"/>
    <col min="30" max="30" width="4.44140625" customWidth="1"/>
    <col min="32" max="32" width="6.77734375" customWidth="1"/>
    <col min="33" max="33" width="11.21875" customWidth="1"/>
    <col min="34" max="34" width="9.5546875" bestFit="1" customWidth="1"/>
    <col min="35" max="35" width="10.21875" customWidth="1"/>
  </cols>
  <sheetData>
    <row r="1" spans="1:45" ht="18" x14ac:dyDescent="0.35">
      <c r="A1" s="410" t="s">
        <v>170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S1" s="410" t="s">
        <v>171</v>
      </c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  <c r="AG1" s="410"/>
      <c r="AH1" s="410"/>
      <c r="AI1" s="410"/>
    </row>
    <row r="2" spans="1:45" x14ac:dyDescent="0.3">
      <c r="AG2" s="118"/>
      <c r="AH2" s="118"/>
      <c r="AI2" s="118"/>
      <c r="AJ2" s="118"/>
      <c r="AK2" s="377" t="s">
        <v>82</v>
      </c>
      <c r="AL2" s="376" t="s">
        <v>191</v>
      </c>
      <c r="AM2" s="376" t="s">
        <v>154</v>
      </c>
      <c r="AN2" s="366" t="s">
        <v>206</v>
      </c>
      <c r="AO2" s="366" t="s">
        <v>207</v>
      </c>
      <c r="AP2" s="366" t="s">
        <v>208</v>
      </c>
      <c r="AQ2" s="366" t="s">
        <v>209</v>
      </c>
      <c r="AR2" s="411" t="s">
        <v>210</v>
      </c>
      <c r="AS2" s="411" t="s">
        <v>211</v>
      </c>
    </row>
    <row r="3" spans="1:45" ht="16.2" x14ac:dyDescent="0.3">
      <c r="B3" s="226" t="s">
        <v>176</v>
      </c>
      <c r="C3">
        <v>0.15</v>
      </c>
      <c r="E3">
        <f>C3+5.2</f>
        <v>5.3500000000000005</v>
      </c>
      <c r="G3">
        <f>E3+3.9</f>
        <v>9.25</v>
      </c>
      <c r="I3">
        <f>G3+4.7</f>
        <v>13.95</v>
      </c>
      <c r="K3">
        <f>I3+5.2</f>
        <v>19.149999999999999</v>
      </c>
      <c r="M3" s="23">
        <f>K3+3.9</f>
        <v>23.049999999999997</v>
      </c>
      <c r="O3" s="226" t="s">
        <v>157</v>
      </c>
      <c r="P3" s="226" t="s">
        <v>167</v>
      </c>
      <c r="Q3" s="226" t="s">
        <v>168</v>
      </c>
      <c r="T3" s="226" t="s">
        <v>176</v>
      </c>
      <c r="U3">
        <v>0.15</v>
      </c>
      <c r="W3">
        <f>U3+5.2</f>
        <v>5.3500000000000005</v>
      </c>
      <c r="Y3">
        <f>W3+3.9</f>
        <v>9.25</v>
      </c>
      <c r="AA3">
        <f>Y3+4.7</f>
        <v>13.95</v>
      </c>
      <c r="AC3">
        <f>AA3+5.2</f>
        <v>19.149999999999999</v>
      </c>
      <c r="AE3" s="23">
        <f>AC3+3.9</f>
        <v>23.049999999999997</v>
      </c>
      <c r="AG3" s="118"/>
      <c r="AH3" s="118"/>
      <c r="AI3" s="118"/>
      <c r="AJ3" s="118"/>
      <c r="AK3" s="377"/>
      <c r="AL3" s="376"/>
      <c r="AM3" s="376"/>
      <c r="AN3" s="366"/>
      <c r="AO3" s="366"/>
      <c r="AP3" s="366"/>
      <c r="AQ3" s="366"/>
      <c r="AR3" s="366"/>
      <c r="AS3" s="411"/>
    </row>
    <row r="4" spans="1:45" ht="15.6" x14ac:dyDescent="0.3">
      <c r="AG4" s="118"/>
      <c r="AH4" s="118"/>
      <c r="AI4" s="118"/>
      <c r="AJ4" s="118"/>
      <c r="AK4" s="273" t="s">
        <v>65</v>
      </c>
      <c r="AL4" s="213">
        <f>'Ap. tipologi di pila '!B263</f>
        <v>305.97399348002</v>
      </c>
      <c r="AM4" s="213">
        <f>'Ap. tipologi di pila '!C263</f>
        <v>295.57514354998716</v>
      </c>
      <c r="AN4" s="260">
        <f>Rigidezze!AH117</f>
        <v>11.621239208220558</v>
      </c>
      <c r="AO4" s="260">
        <f>Rigidezze!P123</f>
        <v>10.663826804539447</v>
      </c>
      <c r="AP4" s="260">
        <v>11.6</v>
      </c>
      <c r="AQ4" s="260">
        <v>10.5</v>
      </c>
      <c r="AR4" s="260">
        <f t="shared" ref="AR4:AS9" si="0">ABS(AN4-AP4)</f>
        <v>2.1239208220558581E-2</v>
      </c>
      <c r="AS4" s="260">
        <f t="shared" si="0"/>
        <v>0.16382680453944687</v>
      </c>
    </row>
    <row r="5" spans="1:45" ht="16.2" thickBot="1" x14ac:dyDescent="0.35">
      <c r="A5" s="4" t="s">
        <v>175</v>
      </c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S5" s="226" t="s">
        <v>175</v>
      </c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G5" s="118"/>
      <c r="AH5" s="118"/>
      <c r="AI5" s="118"/>
      <c r="AJ5" s="118"/>
      <c r="AK5" s="273">
        <v>5</v>
      </c>
      <c r="AL5" s="213">
        <f>'Ap. tipologi di pila '!B264</f>
        <v>365.02040300594314</v>
      </c>
      <c r="AM5" s="213">
        <f>'Ap. tipologi di pila '!C264</f>
        <v>354.01432727117185</v>
      </c>
      <c r="AN5" s="260">
        <f>Rigidezze!AH96</f>
        <v>11.60870399518728</v>
      </c>
      <c r="AO5" s="260">
        <f>Rigidezze!P102</f>
        <v>10.674450391814732</v>
      </c>
      <c r="AP5" s="260">
        <v>11.4</v>
      </c>
      <c r="AQ5" s="260">
        <v>10.54</v>
      </c>
      <c r="AR5" s="260">
        <f t="shared" si="0"/>
        <v>0.20870399518728</v>
      </c>
      <c r="AS5" s="260">
        <f t="shared" si="0"/>
        <v>0.13445039181473284</v>
      </c>
    </row>
    <row r="6" spans="1:45" ht="16.2" thickBot="1" x14ac:dyDescent="0.35">
      <c r="A6" s="218">
        <f>A8+5.15</f>
        <v>20.799999999999997</v>
      </c>
      <c r="B6" s="23"/>
      <c r="C6" s="226"/>
      <c r="D6" s="226"/>
      <c r="E6" s="226"/>
      <c r="F6" s="226"/>
      <c r="G6" s="226"/>
      <c r="H6" s="226"/>
      <c r="I6" s="229">
        <f>'Ap. tipologi di pila '!H234</f>
        <v>35.669452181987005</v>
      </c>
      <c r="J6" s="226"/>
      <c r="K6" s="229">
        <f>'Ap. tipologi di pila '!H220</f>
        <v>53.081302161056762</v>
      </c>
      <c r="L6" s="226"/>
      <c r="M6" s="229">
        <f>'Ap. tipologi di pila '!H234</f>
        <v>35.669452181987005</v>
      </c>
      <c r="O6" s="218">
        <f>I6+K6+M6</f>
        <v>124.42020652503078</v>
      </c>
      <c r="P6" s="226">
        <f>O6*A6</f>
        <v>2587.9402957206398</v>
      </c>
      <c r="Q6" s="218">
        <f>P6*A6</f>
        <v>53829.1581509893</v>
      </c>
      <c r="S6" s="23">
        <f>S8+5.15</f>
        <v>20.799999999999997</v>
      </c>
      <c r="T6" s="23"/>
      <c r="U6" s="226"/>
      <c r="V6" s="226"/>
      <c r="W6" s="226"/>
      <c r="X6" s="226"/>
      <c r="Y6" s="226"/>
      <c r="Z6" s="226"/>
      <c r="AA6" s="229">
        <f>'Ap. tipologi di pila '!L237</f>
        <v>11.190343027591348</v>
      </c>
      <c r="AB6" s="226"/>
      <c r="AC6" s="229">
        <f>'Ap. tipologi di pila '!L237</f>
        <v>11.190343027591348</v>
      </c>
      <c r="AD6" s="226"/>
      <c r="AE6" s="229">
        <f>'Ap. tipologi di pila '!L237</f>
        <v>11.190343027591348</v>
      </c>
      <c r="AG6" s="222"/>
      <c r="AH6" s="118"/>
      <c r="AI6" s="222"/>
      <c r="AJ6" s="118"/>
      <c r="AK6" s="273">
        <v>4</v>
      </c>
      <c r="AL6" s="213">
        <f>'Ap. tipologi di pila '!B265</f>
        <v>470.96294247128355</v>
      </c>
      <c r="AM6" s="213">
        <f>'Ap. tipologi di pila '!C265</f>
        <v>455.72749950272754</v>
      </c>
      <c r="AN6" s="260">
        <f>Rigidezze!AH75</f>
        <v>11.582950327832421</v>
      </c>
      <c r="AO6" s="260">
        <f>Rigidezze!P81</f>
        <v>10.679712532919361</v>
      </c>
      <c r="AP6" s="260">
        <v>11.4</v>
      </c>
      <c r="AQ6" s="260">
        <v>10.54</v>
      </c>
      <c r="AR6" s="260">
        <f t="shared" si="0"/>
        <v>0.18295032783242071</v>
      </c>
      <c r="AS6" s="260">
        <f t="shared" si="0"/>
        <v>0.13971253291936137</v>
      </c>
    </row>
    <row r="7" spans="1:45" ht="16.2" thickBot="1" x14ac:dyDescent="0.35">
      <c r="A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O7" s="226"/>
      <c r="P7" s="226"/>
      <c r="Q7" s="218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G7" s="118"/>
      <c r="AH7" s="118"/>
      <c r="AI7" s="222"/>
      <c r="AJ7" s="118"/>
      <c r="AK7" s="273">
        <v>3</v>
      </c>
      <c r="AL7" s="213">
        <f>'Ap. tipologi di pila '!B266</f>
        <v>546.93047269169267</v>
      </c>
      <c r="AM7" s="213">
        <f>'Ap. tipologi di pila '!C266</f>
        <v>527.16318732266973</v>
      </c>
      <c r="AN7" s="260">
        <f>Rigidezze!AH54</f>
        <v>11.580481255073112</v>
      </c>
      <c r="AO7" s="260">
        <f>Rigidezze!P60</f>
        <v>10.679283430263814</v>
      </c>
      <c r="AP7" s="260">
        <v>11.4</v>
      </c>
      <c r="AQ7" s="260">
        <v>10.54</v>
      </c>
      <c r="AR7" s="260">
        <f t="shared" si="0"/>
        <v>0.18048125507311141</v>
      </c>
      <c r="AS7" s="260">
        <f t="shared" si="0"/>
        <v>0.13928343026381462</v>
      </c>
    </row>
    <row r="8" spans="1:45" ht="16.2" thickBot="1" x14ac:dyDescent="0.35">
      <c r="A8" s="226">
        <f>A10+4.7</f>
        <v>15.649999999999999</v>
      </c>
      <c r="C8" s="229">
        <f>'Ap. tipologi di pila '!H234</f>
        <v>35.669452181987005</v>
      </c>
      <c r="D8" s="226"/>
      <c r="E8" s="229">
        <f>'Ap. tipologi di pila '!H220</f>
        <v>53.081302161056762</v>
      </c>
      <c r="F8" s="226"/>
      <c r="G8" s="229">
        <f>'Ap. tipologi di pila '!H220</f>
        <v>53.081302161056762</v>
      </c>
      <c r="H8" s="226"/>
      <c r="I8" s="229">
        <f>'Ap. tipologi di pila '!H253</f>
        <v>11.794469388320723</v>
      </c>
      <c r="J8" s="226"/>
      <c r="K8" s="229">
        <f>'Ap. tipologi di pila '!H253</f>
        <v>11.794469388320723</v>
      </c>
      <c r="L8" s="226"/>
      <c r="M8" s="229">
        <f>'Ap. tipologi di pila '!H237</f>
        <v>11.499042145593869</v>
      </c>
      <c r="O8" s="218">
        <f>C8+E8+G8+I8+K8+M8</f>
        <v>176.92003742633585</v>
      </c>
      <c r="P8" s="226">
        <f>O8*A8</f>
        <v>2768.7985857221556</v>
      </c>
      <c r="Q8" s="218">
        <f>P8*A8</f>
        <v>43331.697866551731</v>
      </c>
      <c r="S8">
        <f>S10+4.7</f>
        <v>15.649999999999999</v>
      </c>
      <c r="U8" s="229">
        <f>'Ap. tipologi di pila '!L237</f>
        <v>11.190343027591348</v>
      </c>
      <c r="V8" s="226"/>
      <c r="W8" s="229">
        <f>'Ap. tipologi di pila '!L237</f>
        <v>11.190343027591348</v>
      </c>
      <c r="X8" s="226"/>
      <c r="Y8" s="229">
        <f>'Ap. tipologi di pila '!L237</f>
        <v>11.190343027591348</v>
      </c>
      <c r="Z8" s="226"/>
      <c r="AA8" s="229">
        <f>'Ap. tipologi di pila '!L220</f>
        <v>49.903871135359822</v>
      </c>
      <c r="AB8" s="226"/>
      <c r="AC8" s="229">
        <f>'Ap. tipologi di pila '!L248</f>
        <v>35.750279918459384</v>
      </c>
      <c r="AD8" s="226"/>
      <c r="AE8" s="229">
        <f>'Ap. tipologi di pila '!L220</f>
        <v>49.903871135359822</v>
      </c>
      <c r="AG8" s="222"/>
      <c r="AH8" s="118"/>
      <c r="AI8" s="222"/>
      <c r="AJ8" s="118"/>
      <c r="AK8" s="273">
        <v>2</v>
      </c>
      <c r="AL8" s="213">
        <f>'Ap. tipologi di pila '!B267</f>
        <v>687.62417976391532</v>
      </c>
      <c r="AM8" s="213">
        <f>'Ap. tipologi di pila '!C267</f>
        <v>659.81103476688793</v>
      </c>
      <c r="AN8" s="260">
        <f>Rigidezze!AH33</f>
        <v>11.559020694626593</v>
      </c>
      <c r="AO8" s="260">
        <f>Rigidezze!P39</f>
        <v>10.679071364939979</v>
      </c>
      <c r="AP8" s="260">
        <v>11.6</v>
      </c>
      <c r="AQ8" s="260">
        <v>10.5</v>
      </c>
      <c r="AR8" s="260">
        <f t="shared" si="0"/>
        <v>4.097930537340666E-2</v>
      </c>
      <c r="AS8" s="260">
        <f t="shared" si="0"/>
        <v>0.17907136493997911</v>
      </c>
    </row>
    <row r="9" spans="1:45" ht="16.2" thickBot="1" x14ac:dyDescent="0.35">
      <c r="A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O9" s="226"/>
      <c r="P9" s="226"/>
      <c r="Q9" s="218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G9" s="118"/>
      <c r="AH9" s="118"/>
      <c r="AI9" s="222"/>
      <c r="AJ9" s="118"/>
      <c r="AK9" s="273">
        <v>1</v>
      </c>
      <c r="AL9" s="213">
        <f>'Ap. tipologi di pila '!B268</f>
        <v>698.45698373303026</v>
      </c>
      <c r="AM9" s="213">
        <f>'Ap. tipologi di pila '!C268</f>
        <v>643.34016806831823</v>
      </c>
      <c r="AN9" s="260">
        <f>Rigidezze!AH12</f>
        <v>11.591986378084647</v>
      </c>
      <c r="AO9" s="260">
        <f>Rigidezze!P18</f>
        <v>10.597874308616648</v>
      </c>
      <c r="AP9" s="260">
        <v>11.6</v>
      </c>
      <c r="AQ9" s="260">
        <v>10.5</v>
      </c>
      <c r="AR9" s="260">
        <f t="shared" si="0"/>
        <v>8.0136219153530419E-3</v>
      </c>
      <c r="AS9" s="260">
        <f t="shared" si="0"/>
        <v>9.7874308616647809E-2</v>
      </c>
    </row>
    <row r="10" spans="1:45" ht="15" thickBot="1" x14ac:dyDescent="0.35">
      <c r="A10" s="226">
        <f>A12+5.6</f>
        <v>10.95</v>
      </c>
      <c r="C10" s="229">
        <f>'Ap. tipologi di pila '!H244</f>
        <v>4.8667439165701039</v>
      </c>
      <c r="D10" s="226"/>
      <c r="E10" s="229">
        <f>'Ap. tipologi di pila '!H230</f>
        <v>7.2980017376194608</v>
      </c>
      <c r="F10" s="226"/>
      <c r="G10" s="229">
        <f>'Ap. tipologi di pila '!H253</f>
        <v>11.794469388320723</v>
      </c>
      <c r="H10" s="226"/>
      <c r="I10" s="229">
        <f>'Ap. tipologi di pila '!H223</f>
        <v>12.858826049700083</v>
      </c>
      <c r="J10" s="226"/>
      <c r="K10" s="229">
        <f>'Ap. tipologi di pila '!H220</f>
        <v>53.081302161056762</v>
      </c>
      <c r="L10" s="226"/>
      <c r="M10" s="229">
        <f>'Ap. tipologi di pila '!H237</f>
        <v>11.499042145593869</v>
      </c>
      <c r="O10" s="218">
        <f>C10+E10+G10+I10+K10+M10</f>
        <v>101.398385398861</v>
      </c>
      <c r="P10" s="226">
        <f>O10*A10</f>
        <v>1110.3123201175279</v>
      </c>
      <c r="Q10" s="218">
        <f>P10*A10</f>
        <v>12157.91990528693</v>
      </c>
      <c r="S10">
        <f>S12+5.6</f>
        <v>10.95</v>
      </c>
      <c r="U10" s="229">
        <f>'Ap. tipologi di pila '!L220</f>
        <v>49.903871135359822</v>
      </c>
      <c r="V10" s="226"/>
      <c r="W10" s="229">
        <f>'Ap. tipologi di pila '!L220</f>
        <v>49.903871135359822</v>
      </c>
      <c r="X10" s="226"/>
      <c r="Y10" s="229">
        <f>'Ap. tipologi di pila '!L220</f>
        <v>49.903871135359822</v>
      </c>
      <c r="Z10" s="226"/>
      <c r="AA10" s="229">
        <f>'Ap. tipologi di pila '!L220</f>
        <v>49.903871135359822</v>
      </c>
      <c r="AB10" s="226"/>
      <c r="AC10" s="229">
        <f>'Ap. tipologi di pila '!L253</f>
        <v>11.507429490819609</v>
      </c>
      <c r="AD10" s="226"/>
      <c r="AE10" s="229">
        <f>'Ap. tipologi di pila '!L220</f>
        <v>49.903871135359822</v>
      </c>
      <c r="AG10" s="222"/>
      <c r="AH10" s="118"/>
      <c r="AI10" s="222"/>
      <c r="AJ10" s="118"/>
    </row>
    <row r="11" spans="1:45" ht="15" thickBot="1" x14ac:dyDescent="0.35">
      <c r="A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O11" s="226"/>
      <c r="P11" s="226"/>
      <c r="Q11" s="218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G11" s="118"/>
      <c r="AI11" s="222"/>
      <c r="AJ11" s="118"/>
    </row>
    <row r="12" spans="1:45" ht="16.2" thickBot="1" x14ac:dyDescent="0.4">
      <c r="A12" s="226">
        <f>A14+5.2</f>
        <v>5.3500000000000005</v>
      </c>
      <c r="C12" s="229">
        <f>'Ap. tipologi di pila '!H244</f>
        <v>4.8667439165701039</v>
      </c>
      <c r="D12" s="226"/>
      <c r="E12" s="229">
        <f>'Ap. tipologi di pila '!H227</f>
        <v>12.804878048780486</v>
      </c>
      <c r="F12" s="226"/>
      <c r="G12" s="229">
        <f>'Ap. tipologi di pila '!H253</f>
        <v>11.794469388320723</v>
      </c>
      <c r="H12" s="226"/>
      <c r="I12" s="229">
        <f>'Ap. tipologi di pila '!H220</f>
        <v>53.081302161056762</v>
      </c>
      <c r="J12" s="226"/>
      <c r="K12" s="229">
        <f>'Ap. tipologi di pila '!H220</f>
        <v>53.081302161056762</v>
      </c>
      <c r="L12" s="226"/>
      <c r="M12" s="229">
        <f>'Ap. tipologi di pila '!H234</f>
        <v>35.669452181987005</v>
      </c>
      <c r="O12" s="218">
        <f>C12+E12+G12+I12+K12+M12</f>
        <v>171.29814785777182</v>
      </c>
      <c r="P12" s="226">
        <f>O12*A12</f>
        <v>916.44509103907933</v>
      </c>
      <c r="Q12" s="218">
        <f>P12*A12</f>
        <v>4902.9812370590753</v>
      </c>
      <c r="S12">
        <f>S14+5.2</f>
        <v>5.3500000000000005</v>
      </c>
      <c r="U12" s="229">
        <f>'Ap. tipologi di pila '!L220</f>
        <v>49.903871135359822</v>
      </c>
      <c r="V12" s="226"/>
      <c r="W12" s="229">
        <f>'Ap. tipologi di pila '!L223</f>
        <v>12.663502109704639</v>
      </c>
      <c r="X12" s="226"/>
      <c r="Y12" s="229">
        <f>'Ap. tipologi di pila '!L220</f>
        <v>49.903871135359822</v>
      </c>
      <c r="Z12" s="226"/>
      <c r="AA12" s="229">
        <f>'Ap. tipologi di pila '!L237</f>
        <v>11.190343027591348</v>
      </c>
      <c r="AB12" s="226"/>
      <c r="AC12" s="229">
        <f>'Ap. tipologi di pila '!L237</f>
        <v>11.190343027591348</v>
      </c>
      <c r="AD12" s="226"/>
      <c r="AE12" s="229">
        <f>'Ap. tipologi di pila '!L237</f>
        <v>11.190343027591348</v>
      </c>
      <c r="AG12" s="220" t="s">
        <v>174</v>
      </c>
      <c r="AH12" s="221">
        <f>AG18/AG16</f>
        <v>11.591986378084647</v>
      </c>
      <c r="AI12" s="222"/>
      <c r="AJ12" s="118"/>
    </row>
    <row r="13" spans="1:45" ht="18.600000000000001" thickBot="1" x14ac:dyDescent="0.45">
      <c r="A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O13" s="226"/>
      <c r="P13" s="226"/>
      <c r="Q13" s="218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G13" s="230" t="s">
        <v>182</v>
      </c>
      <c r="AH13" s="231">
        <f>11.6</f>
        <v>11.6</v>
      </c>
      <c r="AI13" s="222"/>
      <c r="AJ13" s="118"/>
    </row>
    <row r="14" spans="1:45" ht="16.2" thickBot="1" x14ac:dyDescent="0.35">
      <c r="A14" s="226">
        <f>0.15</f>
        <v>0.15</v>
      </c>
      <c r="C14" s="229">
        <f>'Ap. tipologi di pila '!H234</f>
        <v>35.669452181987005</v>
      </c>
      <c r="D14" s="226"/>
      <c r="E14" s="229">
        <f>'Ap. tipologi di pila '!H220</f>
        <v>53.081302161056762</v>
      </c>
      <c r="F14" s="226"/>
      <c r="G14" s="229">
        <f>'Ap. tipologi di pila '!H234</f>
        <v>35.669452181987005</v>
      </c>
      <c r="H14" s="226"/>
      <c r="I14" s="226"/>
      <c r="J14" s="226"/>
      <c r="K14" s="226"/>
      <c r="L14" s="226"/>
      <c r="M14" s="226"/>
      <c r="O14" s="218">
        <f>C14+E14+G14</f>
        <v>124.42020652503078</v>
      </c>
      <c r="P14" s="226">
        <f>O14*A14</f>
        <v>18.663030978754616</v>
      </c>
      <c r="Q14" s="218">
        <f>P14*A14</f>
        <v>2.7994546468131922</v>
      </c>
      <c r="S14">
        <f>0.15</f>
        <v>0.15</v>
      </c>
      <c r="U14" s="229">
        <f>'Ap. tipologi di pila '!$L$237</f>
        <v>11.190343027591348</v>
      </c>
      <c r="V14" s="226"/>
      <c r="W14" s="229">
        <f>'Ap. tipologi di pila '!$L$237</f>
        <v>11.190343027591348</v>
      </c>
      <c r="X14" s="226"/>
      <c r="Y14" s="229">
        <f>'Ap. tipologi di pila '!$L$237</f>
        <v>11.190343027591348</v>
      </c>
      <c r="Z14" s="226"/>
      <c r="AA14" s="226"/>
      <c r="AB14" s="226"/>
      <c r="AC14" s="226"/>
      <c r="AD14" s="226"/>
      <c r="AE14" s="226"/>
      <c r="AG14" s="230" t="s">
        <v>181</v>
      </c>
      <c r="AH14" s="233">
        <f>ABS(AH12-AH13)</f>
        <v>8.0136219153530419E-3</v>
      </c>
      <c r="AI14" s="222"/>
      <c r="AJ14" s="118"/>
    </row>
    <row r="15" spans="1:45" x14ac:dyDescent="0.3"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O15" s="226"/>
      <c r="P15" s="226"/>
      <c r="Q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G15" s="118"/>
      <c r="AH15" s="118"/>
      <c r="AI15" s="118"/>
      <c r="AJ15" s="118"/>
    </row>
    <row r="16" spans="1:45" x14ac:dyDescent="0.3">
      <c r="O16" s="227">
        <f>O6+O8+O10+O12+O14</f>
        <v>698.45698373303026</v>
      </c>
      <c r="P16" s="228">
        <f>P6+P8+P10+P12+P14</f>
        <v>7402.1593235781575</v>
      </c>
      <c r="Q16" s="228">
        <f>Q6+Q8+Q10+Q12+Q14</f>
        <v>114224.55661453384</v>
      </c>
      <c r="T16" t="s">
        <v>157</v>
      </c>
      <c r="U16" s="218">
        <f>U8+U10+U12+U14</f>
        <v>122.18842832590235</v>
      </c>
      <c r="V16" s="226"/>
      <c r="W16" s="218">
        <f>W8+W10+W12+W14</f>
        <v>84.948059300247166</v>
      </c>
      <c r="X16" s="226"/>
      <c r="Y16" s="218">
        <f>Y8+Y10+Y12+Y14</f>
        <v>122.18842832590235</v>
      </c>
      <c r="Z16" s="226"/>
      <c r="AA16" s="218">
        <f>AA6+AA8+AA10+AA12</f>
        <v>122.18842832590235</v>
      </c>
      <c r="AB16" s="226"/>
      <c r="AC16" s="218">
        <f>AC6+AC8+AC10+AC12</f>
        <v>69.638395464461695</v>
      </c>
      <c r="AD16" s="226"/>
      <c r="AE16" s="218">
        <f>AE6+AE8+AE10+AE12</f>
        <v>122.18842832590235</v>
      </c>
      <c r="AG16" s="223">
        <f>U16+W16+Y16+AA16+AC16+AE16</f>
        <v>643.34016806831823</v>
      </c>
      <c r="AH16" s="118"/>
      <c r="AI16" s="118"/>
      <c r="AJ16" s="118"/>
    </row>
    <row r="17" spans="1:36" ht="15" thickBot="1" x14ac:dyDescent="0.35"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G17" s="225"/>
      <c r="AH17" s="118"/>
      <c r="AI17" s="118"/>
      <c r="AJ17" s="118"/>
    </row>
    <row r="18" spans="1:36" ht="18.600000000000001" thickBot="1" x14ac:dyDescent="0.45">
      <c r="O18" s="230" t="s">
        <v>179</v>
      </c>
      <c r="P18" s="231">
        <f>P16/O16</f>
        <v>10.597874308616648</v>
      </c>
      <c r="T18" t="s">
        <v>172</v>
      </c>
      <c r="U18" s="218">
        <f>U16*U3</f>
        <v>18.32826424888535</v>
      </c>
      <c r="V18" s="226"/>
      <c r="W18" s="226">
        <f t="shared" ref="W18:AE18" si="1">W16*W3</f>
        <v>454.47211725632241</v>
      </c>
      <c r="X18" s="226"/>
      <c r="Y18" s="226">
        <f t="shared" si="1"/>
        <v>1130.2429620145967</v>
      </c>
      <c r="Z18" s="226"/>
      <c r="AA18" s="226">
        <f t="shared" si="1"/>
        <v>1704.5285751463377</v>
      </c>
      <c r="AB18" s="226"/>
      <c r="AC18" s="226">
        <f t="shared" si="1"/>
        <v>1333.5752731444413</v>
      </c>
      <c r="AD18" s="226"/>
      <c r="AE18" s="226">
        <f t="shared" si="1"/>
        <v>2816.443272912049</v>
      </c>
      <c r="AG18" s="223">
        <f>U18+W18+Y18+AA18+AC18+AE18</f>
        <v>7457.5904647226325</v>
      </c>
      <c r="AH18" s="223"/>
      <c r="AI18" s="118"/>
      <c r="AJ18" s="118"/>
    </row>
    <row r="19" spans="1:36" ht="18.600000000000001" thickBot="1" x14ac:dyDescent="0.45">
      <c r="O19" s="230" t="s">
        <v>180</v>
      </c>
      <c r="P19" s="232">
        <f>10.5</f>
        <v>10.5</v>
      </c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G19" s="225"/>
      <c r="AH19" s="118"/>
      <c r="AI19" s="118"/>
      <c r="AJ19" s="118"/>
    </row>
    <row r="20" spans="1:36" ht="16.8" thickBot="1" x14ac:dyDescent="0.35">
      <c r="O20" s="230" t="s">
        <v>181</v>
      </c>
      <c r="P20" s="233">
        <f>ABS(P18-P19)</f>
        <v>9.7874308616647809E-2</v>
      </c>
      <c r="T20" t="s">
        <v>173</v>
      </c>
      <c r="U20" s="218">
        <f>U18*U3</f>
        <v>2.7492396373328023</v>
      </c>
      <c r="V20" s="226"/>
      <c r="W20" s="226">
        <f t="shared" ref="W20:AE20" si="2">W18*W3</f>
        <v>2431.425827321325</v>
      </c>
      <c r="X20" s="226"/>
      <c r="Y20" s="226">
        <f t="shared" si="2"/>
        <v>10454.74739863502</v>
      </c>
      <c r="Z20" s="226"/>
      <c r="AA20" s="226">
        <f t="shared" si="2"/>
        <v>23778.173623291412</v>
      </c>
      <c r="AB20" s="226"/>
      <c r="AC20" s="226">
        <f t="shared" si="2"/>
        <v>25537.966480716048</v>
      </c>
      <c r="AD20" s="226"/>
      <c r="AE20" s="226">
        <f t="shared" si="2"/>
        <v>64919.017440622723</v>
      </c>
      <c r="AG20" s="223">
        <f>U20+W20+Y20+AA20+AC20+AE20</f>
        <v>127124.08001022387</v>
      </c>
      <c r="AH20" s="118"/>
      <c r="AI20" s="118"/>
      <c r="AJ20" s="118"/>
    </row>
    <row r="21" spans="1:36" x14ac:dyDescent="0.3"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G21" s="225"/>
      <c r="AH21" s="118"/>
      <c r="AI21" s="118"/>
      <c r="AJ21" s="118"/>
    </row>
    <row r="22" spans="1:36" ht="18" x14ac:dyDescent="0.35">
      <c r="A22" s="410" t="s">
        <v>177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S22" s="410" t="s">
        <v>178</v>
      </c>
      <c r="T22" s="410"/>
      <c r="U22" s="410"/>
      <c r="V22" s="410"/>
      <c r="W22" s="410"/>
      <c r="X22" s="410"/>
      <c r="Y22" s="410"/>
      <c r="Z22" s="410"/>
      <c r="AA22" s="410"/>
      <c r="AB22" s="410"/>
      <c r="AC22" s="410"/>
      <c r="AD22" s="410"/>
      <c r="AE22" s="410"/>
      <c r="AF22" s="410"/>
      <c r="AG22" s="410"/>
      <c r="AH22" s="410"/>
      <c r="AI22" s="410"/>
      <c r="AJ22" s="118"/>
    </row>
    <row r="23" spans="1:36" x14ac:dyDescent="0.3">
      <c r="AG23" s="118"/>
      <c r="AH23" s="118"/>
      <c r="AI23" s="118"/>
      <c r="AJ23" s="118"/>
    </row>
    <row r="24" spans="1:36" ht="16.2" x14ac:dyDescent="0.3">
      <c r="B24" s="226" t="s">
        <v>176</v>
      </c>
      <c r="C24">
        <v>0.15</v>
      </c>
      <c r="E24">
        <f>C24+5.2</f>
        <v>5.3500000000000005</v>
      </c>
      <c r="G24">
        <f>E24+3.9</f>
        <v>9.25</v>
      </c>
      <c r="I24">
        <f>G24+4.7</f>
        <v>13.95</v>
      </c>
      <c r="K24">
        <f>I24+5.2</f>
        <v>19.149999999999999</v>
      </c>
      <c r="M24" s="23">
        <f>K24+3.9</f>
        <v>23.049999999999997</v>
      </c>
      <c r="O24" s="226" t="s">
        <v>157</v>
      </c>
      <c r="P24" s="226" t="s">
        <v>167</v>
      </c>
      <c r="Q24" s="226" t="s">
        <v>168</v>
      </c>
      <c r="T24" s="226" t="s">
        <v>176</v>
      </c>
      <c r="U24">
        <v>0.15</v>
      </c>
      <c r="W24">
        <f>U24+5.2</f>
        <v>5.3500000000000005</v>
      </c>
      <c r="Y24">
        <f>W24+3.9</f>
        <v>9.25</v>
      </c>
      <c r="AA24">
        <f>Y24+4.7</f>
        <v>13.95</v>
      </c>
      <c r="AC24">
        <f>AA24+5.2</f>
        <v>19.149999999999999</v>
      </c>
      <c r="AE24" s="23">
        <f>AC24+3.9</f>
        <v>23.049999999999997</v>
      </c>
      <c r="AG24" s="118"/>
      <c r="AH24" s="118"/>
      <c r="AI24" s="118"/>
      <c r="AJ24" s="118"/>
    </row>
    <row r="25" spans="1:36" x14ac:dyDescent="0.3">
      <c r="AG25" s="118"/>
      <c r="AH25" s="118"/>
      <c r="AI25" s="118"/>
    </row>
    <row r="26" spans="1:36" ht="15" thickBot="1" x14ac:dyDescent="0.35">
      <c r="A26" s="4" t="s">
        <v>175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S26" s="226" t="s">
        <v>175</v>
      </c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G26" s="118"/>
      <c r="AH26" s="118"/>
      <c r="AI26" s="118"/>
    </row>
    <row r="27" spans="1:36" ht="15" thickBot="1" x14ac:dyDescent="0.35">
      <c r="A27" s="218">
        <f>A29+5.15</f>
        <v>20.799999999999997</v>
      </c>
      <c r="B27" s="23"/>
      <c r="C27" s="226"/>
      <c r="D27" s="226"/>
      <c r="E27" s="226"/>
      <c r="F27" s="226"/>
      <c r="G27" s="226"/>
      <c r="H27" s="226"/>
      <c r="I27" s="229">
        <f>'Ap. tipologi di pila '!$H$192</f>
        <v>32.216336023535959</v>
      </c>
      <c r="J27" s="226"/>
      <c r="K27" s="229">
        <f>'Ap. tipologi di pila '!$H$178</f>
        <v>52.892366437126718</v>
      </c>
      <c r="L27" s="226"/>
      <c r="M27" s="229">
        <f>'Ap. tipologi di pila '!H192</f>
        <v>32.216336023535959</v>
      </c>
      <c r="O27" s="218">
        <f>I27+K27+M27</f>
        <v>117.32503848419863</v>
      </c>
      <c r="P27" s="226">
        <f>O27*A27</f>
        <v>2440.360800471331</v>
      </c>
      <c r="Q27" s="218">
        <f>P27*A27</f>
        <v>50759.504649803675</v>
      </c>
      <c r="S27" s="23">
        <f>S29+5.15</f>
        <v>20.799999999999997</v>
      </c>
      <c r="T27" s="23"/>
      <c r="U27" s="226"/>
      <c r="V27" s="226"/>
      <c r="W27" s="226"/>
      <c r="X27" s="226"/>
      <c r="Y27" s="226"/>
      <c r="Z27" s="226"/>
      <c r="AA27" s="229">
        <f>'Ap. tipologi di pila '!$L$195</f>
        <v>13.228752117714064</v>
      </c>
      <c r="AB27" s="226"/>
      <c r="AC27" s="229">
        <f>'Ap. tipologi di pila '!$L$195</f>
        <v>13.228752117714064</v>
      </c>
      <c r="AD27" s="226"/>
      <c r="AE27" s="229">
        <f>'Ap. tipologi di pila '!$L$195</f>
        <v>13.228752117714064</v>
      </c>
      <c r="AG27" s="222"/>
      <c r="AH27" s="118"/>
      <c r="AI27" s="222"/>
    </row>
    <row r="28" spans="1:36" ht="15" thickBot="1" x14ac:dyDescent="0.35">
      <c r="A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O28" s="226"/>
      <c r="P28" s="226"/>
      <c r="Q28" s="218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G28" s="118"/>
      <c r="AH28" s="118"/>
      <c r="AI28" s="222"/>
    </row>
    <row r="29" spans="1:36" ht="15" thickBot="1" x14ac:dyDescent="0.35">
      <c r="A29" s="226">
        <f>A31+4.7</f>
        <v>15.649999999999999</v>
      </c>
      <c r="C29" s="229">
        <f>'Ap. tipologi di pila '!$H$192</f>
        <v>32.216336023535959</v>
      </c>
      <c r="D29" s="226"/>
      <c r="E29" s="229">
        <f>'Ap. tipologi di pila '!$H$178</f>
        <v>52.892366437126718</v>
      </c>
      <c r="F29" s="226"/>
      <c r="G29" s="229">
        <f>'Ap. tipologi di pila '!$H$178</f>
        <v>52.892366437126718</v>
      </c>
      <c r="H29" s="226"/>
      <c r="I29" s="229">
        <f>'Ap. tipologi di pila '!$H$211</f>
        <v>14.305613308905603</v>
      </c>
      <c r="J29" s="226"/>
      <c r="K29" s="229">
        <f>'Ap. tipologi di pila '!$H$211</f>
        <v>14.305613308905603</v>
      </c>
      <c r="L29" s="226"/>
      <c r="M29" s="229">
        <f>'Ap. tipologi di pila '!H195</f>
        <v>13.806896597421133</v>
      </c>
      <c r="O29" s="218">
        <f>C29+E29+G29+I29+K29+M29</f>
        <v>180.41919211302175</v>
      </c>
      <c r="P29" s="226">
        <f>O29*A29</f>
        <v>2823.5603565687902</v>
      </c>
      <c r="Q29" s="218">
        <f>P29*A29</f>
        <v>44188.719580301564</v>
      </c>
      <c r="S29">
        <f>S31+4.7</f>
        <v>15.649999999999999</v>
      </c>
      <c r="U29" s="229">
        <f>'Ap. tipologi di pila '!$L$195</f>
        <v>13.228752117714064</v>
      </c>
      <c r="V29" s="226"/>
      <c r="W29" s="229">
        <f>'Ap. tipologi di pila '!$L$195</f>
        <v>13.228752117714064</v>
      </c>
      <c r="X29" s="226"/>
      <c r="Y29" s="229">
        <f>'Ap. tipologi di pila '!$L$195</f>
        <v>13.228752117714064</v>
      </c>
      <c r="Z29" s="226"/>
      <c r="AA29" s="229">
        <f>'Ap. tipologi di pila '!$L$178</f>
        <v>48.806691561765938</v>
      </c>
      <c r="AB29" s="226"/>
      <c r="AC29" s="229">
        <f>'Ap. tipologi di pila '!L206</f>
        <v>31.896686590358481</v>
      </c>
      <c r="AD29" s="226"/>
      <c r="AE29" s="229">
        <f>'Ap. tipologi di pila '!$L$178</f>
        <v>48.806691561765938</v>
      </c>
      <c r="AG29" s="222"/>
      <c r="AH29" s="118"/>
      <c r="AI29" s="222"/>
    </row>
    <row r="30" spans="1:36" ht="15" thickBot="1" x14ac:dyDescent="0.35">
      <c r="A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O30" s="226"/>
      <c r="P30" s="226"/>
      <c r="Q30" s="218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G30" s="118"/>
      <c r="AH30" s="118"/>
      <c r="AI30" s="222"/>
    </row>
    <row r="31" spans="1:36" ht="15" thickBot="1" x14ac:dyDescent="0.35">
      <c r="A31" s="226">
        <f>A33+5.6</f>
        <v>10.95</v>
      </c>
      <c r="C31" s="229">
        <f>'Ap. tipologi di pila '!$H$202</f>
        <v>3.7806721194879089</v>
      </c>
      <c r="D31" s="226"/>
      <c r="E31" s="229">
        <f>'Ap. tipologi di pila '!H188</f>
        <v>6.396660649819494</v>
      </c>
      <c r="F31" s="226"/>
      <c r="G31" s="229">
        <f>'Ap. tipologi di pila '!$H$211</f>
        <v>14.305613308905603</v>
      </c>
      <c r="H31" s="226"/>
      <c r="I31" s="229">
        <f>'Ap. tipologi di pila '!H181</f>
        <v>16.58546999314343</v>
      </c>
      <c r="J31" s="226"/>
      <c r="K31" s="229">
        <f>'Ap. tipologi di pila '!H178</f>
        <v>52.892366437126718</v>
      </c>
      <c r="L31" s="226"/>
      <c r="M31" s="229">
        <f>'Ap. tipologi di pila '!H195</f>
        <v>13.806896597421133</v>
      </c>
      <c r="O31" s="218">
        <f>C31+E31+G31+I31+K31+M31</f>
        <v>107.76767910590429</v>
      </c>
      <c r="P31" s="226">
        <f>O31*A31</f>
        <v>1180.056086209652</v>
      </c>
      <c r="Q31" s="218">
        <f>P31*A31</f>
        <v>12921.614143995688</v>
      </c>
      <c r="S31">
        <f>S33+5.6</f>
        <v>10.95</v>
      </c>
      <c r="U31" s="229">
        <f>'Ap. tipologi di pila '!$L$178</f>
        <v>48.806691561765938</v>
      </c>
      <c r="V31" s="226"/>
      <c r="W31" s="229">
        <f>'Ap. tipologi di pila '!$L$178</f>
        <v>48.806691561765938</v>
      </c>
      <c r="X31" s="226"/>
      <c r="Y31" s="229">
        <f>'Ap. tipologi di pila '!$L$178</f>
        <v>48.806691561765938</v>
      </c>
      <c r="Z31" s="226"/>
      <c r="AA31" s="229">
        <f>'Ap. tipologi di pila '!$L$178</f>
        <v>48.806691561765938</v>
      </c>
      <c r="AB31" s="226"/>
      <c r="AC31" s="229">
        <f>'Ap. tipologi di pila '!L211</f>
        <v>13.747851597155044</v>
      </c>
      <c r="AD31" s="226"/>
      <c r="AE31" s="229">
        <f>'Ap. tipologi di pila '!$L$178</f>
        <v>48.806691561765938</v>
      </c>
      <c r="AG31" s="222"/>
      <c r="AH31" s="118"/>
      <c r="AI31" s="222"/>
    </row>
    <row r="32" spans="1:36" ht="15" thickBot="1" x14ac:dyDescent="0.35">
      <c r="A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O32" s="226"/>
      <c r="P32" s="226"/>
      <c r="Q32" s="218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G32" s="118"/>
      <c r="AI32" s="222"/>
    </row>
    <row r="33" spans="1:35" ht="16.2" thickBot="1" x14ac:dyDescent="0.4">
      <c r="A33" s="226">
        <f>A35+5.2</f>
        <v>5.3500000000000005</v>
      </c>
      <c r="C33" s="229">
        <f>'Ap. tipologi di pila '!$H$202</f>
        <v>3.7806721194879089</v>
      </c>
      <c r="D33" s="226"/>
      <c r="E33" s="229">
        <f>'Ap. tipologi di pila '!H185</f>
        <v>8.6998772504091644</v>
      </c>
      <c r="F33" s="226"/>
      <c r="G33" s="229">
        <f>'Ap. tipologi di pila '!$H$211</f>
        <v>14.305613308905603</v>
      </c>
      <c r="H33" s="226"/>
      <c r="I33" s="229">
        <f>'Ap. tipologi di pila '!$H$178</f>
        <v>52.892366437126718</v>
      </c>
      <c r="J33" s="226"/>
      <c r="K33" s="229">
        <f>'Ap. tipologi di pila '!$H$178</f>
        <v>52.892366437126718</v>
      </c>
      <c r="L33" s="226"/>
      <c r="M33" s="229">
        <f>'Ap. tipologi di pila '!$H$192</f>
        <v>32.216336023535959</v>
      </c>
      <c r="O33" s="218">
        <f>C33+E33+G33+I33+K33+M33</f>
        <v>164.78723157659209</v>
      </c>
      <c r="P33" s="226">
        <f>O33*A33</f>
        <v>881.61168893476781</v>
      </c>
      <c r="Q33" s="218">
        <f>P33*A33</f>
        <v>4716.6225358010079</v>
      </c>
      <c r="S33">
        <f>S35+5.2</f>
        <v>5.3500000000000005</v>
      </c>
      <c r="U33" s="229">
        <f>'Ap. tipologi di pila '!$L$178</f>
        <v>48.806691561765938</v>
      </c>
      <c r="V33" s="226"/>
      <c r="W33" s="229">
        <f>'Ap. tipologi di pila '!L181</f>
        <v>16.161247110912164</v>
      </c>
      <c r="X33" s="226"/>
      <c r="Y33" s="229">
        <f>'Ap. tipologi di pila '!$L$178</f>
        <v>48.806691561765938</v>
      </c>
      <c r="Z33" s="226"/>
      <c r="AA33" s="229">
        <f>'Ap. tipologi di pila '!$L$195</f>
        <v>13.228752117714064</v>
      </c>
      <c r="AB33" s="226"/>
      <c r="AC33" s="229">
        <f>'Ap. tipologi di pila '!$L$195</f>
        <v>13.228752117714064</v>
      </c>
      <c r="AD33" s="226"/>
      <c r="AE33" s="229">
        <f>'Ap. tipologi di pila '!$L$195</f>
        <v>13.228752117714064</v>
      </c>
      <c r="AG33" s="220" t="s">
        <v>174</v>
      </c>
      <c r="AH33" s="221">
        <f>AG39/AG37</f>
        <v>11.559020694626593</v>
      </c>
      <c r="AI33" s="222"/>
    </row>
    <row r="34" spans="1:35" ht="18.600000000000001" thickBot="1" x14ac:dyDescent="0.45">
      <c r="A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O34" s="226"/>
      <c r="P34" s="226"/>
      <c r="Q34" s="218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G34" s="230" t="s">
        <v>182</v>
      </c>
      <c r="AH34" s="231">
        <f>11.6</f>
        <v>11.6</v>
      </c>
      <c r="AI34" s="222"/>
    </row>
    <row r="35" spans="1:35" ht="16.2" thickBot="1" x14ac:dyDescent="0.35">
      <c r="A35" s="226">
        <f>0.15</f>
        <v>0.15</v>
      </c>
      <c r="C35" s="229">
        <f>'Ap. tipologi di pila '!$H$192</f>
        <v>32.216336023535959</v>
      </c>
      <c r="D35" s="226"/>
      <c r="E35" s="229">
        <f>'Ap. tipologi di pila '!$H$178</f>
        <v>52.892366437126718</v>
      </c>
      <c r="F35" s="226"/>
      <c r="G35" s="229">
        <f>'Ap. tipologi di pila '!$H$192</f>
        <v>32.216336023535959</v>
      </c>
      <c r="H35" s="226"/>
      <c r="I35" s="226"/>
      <c r="J35" s="226"/>
      <c r="K35" s="226"/>
      <c r="L35" s="226"/>
      <c r="M35" s="226"/>
      <c r="O35" s="218">
        <f>C35+E35+G35</f>
        <v>117.32503848419863</v>
      </c>
      <c r="P35" s="226">
        <f>O35*A35</f>
        <v>17.598755772629794</v>
      </c>
      <c r="Q35" s="218">
        <f>P35*A35</f>
        <v>2.6398133658944691</v>
      </c>
      <c r="S35">
        <f>0.15</f>
        <v>0.15</v>
      </c>
      <c r="U35" s="229">
        <f>'Ap. tipologi di pila '!$L$195</f>
        <v>13.228752117714064</v>
      </c>
      <c r="V35" s="226"/>
      <c r="W35" s="229">
        <f>'Ap. tipologi di pila '!$L$195</f>
        <v>13.228752117714064</v>
      </c>
      <c r="X35" s="226"/>
      <c r="Y35" s="229">
        <f>'Ap. tipologi di pila '!$L$195</f>
        <v>13.228752117714064</v>
      </c>
      <c r="Z35" s="226"/>
      <c r="AA35" s="226"/>
      <c r="AB35" s="226"/>
      <c r="AC35" s="226"/>
      <c r="AD35" s="226"/>
      <c r="AE35" s="226"/>
      <c r="AG35" s="230" t="s">
        <v>181</v>
      </c>
      <c r="AH35" s="233">
        <f>ABS(AH33-AH34)</f>
        <v>4.097930537340666E-2</v>
      </c>
      <c r="AI35" s="222"/>
    </row>
    <row r="36" spans="1:35" x14ac:dyDescent="0.3"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O36" s="226"/>
      <c r="P36" s="226"/>
      <c r="Q36" s="226"/>
      <c r="U36" s="226"/>
      <c r="V36" s="226"/>
      <c r="W36" s="226"/>
      <c r="X36" s="226"/>
      <c r="Y36" s="226"/>
      <c r="Z36" s="226"/>
      <c r="AA36" s="226"/>
      <c r="AB36" s="226"/>
      <c r="AC36" s="226"/>
      <c r="AD36" s="226"/>
      <c r="AE36" s="226"/>
      <c r="AG36" s="118"/>
      <c r="AH36" s="118"/>
      <c r="AI36" s="118"/>
    </row>
    <row r="37" spans="1:35" x14ac:dyDescent="0.3">
      <c r="O37" s="227">
        <f>O27+O29+O31+O33+O35</f>
        <v>687.62417976391544</v>
      </c>
      <c r="P37" s="228">
        <f>P27+P29+P31+P33+P35</f>
        <v>7343.1876879571701</v>
      </c>
      <c r="Q37" s="228">
        <f>Q27+Q29+Q31+Q33+Q35</f>
        <v>112589.10072326782</v>
      </c>
      <c r="T37" t="s">
        <v>157</v>
      </c>
      <c r="U37" s="218">
        <f>U29+U31+U33+U35</f>
        <v>124.07088735896001</v>
      </c>
      <c r="V37" s="226"/>
      <c r="W37" s="218">
        <f>W29+W31+W33+W35</f>
        <v>91.425442908106234</v>
      </c>
      <c r="X37" s="226"/>
      <c r="Y37" s="218">
        <f>Y29+Y31+Y33+Y35</f>
        <v>124.07088735896001</v>
      </c>
      <c r="Z37" s="226"/>
      <c r="AA37" s="218">
        <f>AA27+AA29+AA31+AA33</f>
        <v>124.07088735896001</v>
      </c>
      <c r="AB37" s="226"/>
      <c r="AC37" s="218">
        <f>AC27+AC29+AC31+AC33</f>
        <v>72.102042422941651</v>
      </c>
      <c r="AD37" s="226"/>
      <c r="AE37" s="218">
        <f>AE27+AE29+AE31+AE33</f>
        <v>124.07088735896001</v>
      </c>
      <c r="AG37" s="223">
        <f>U37+W37+Y37+AA37+AC37+AE37</f>
        <v>659.81103476688793</v>
      </c>
      <c r="AH37" s="118"/>
      <c r="AI37" s="118"/>
    </row>
    <row r="38" spans="1:35" ht="15" thickBot="1" x14ac:dyDescent="0.35"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G38" s="225"/>
      <c r="AH38" s="118"/>
      <c r="AI38" s="118"/>
    </row>
    <row r="39" spans="1:35" ht="16.2" thickBot="1" x14ac:dyDescent="0.4">
      <c r="O39" s="220" t="s">
        <v>169</v>
      </c>
      <c r="P39" s="221">
        <f>P37/O37</f>
        <v>10.679071364939979</v>
      </c>
      <c r="Q39" s="224" t="s">
        <v>32</v>
      </c>
      <c r="T39" t="s">
        <v>172</v>
      </c>
      <c r="U39" s="218">
        <f>U37*U24</f>
        <v>18.610633103844002</v>
      </c>
      <c r="V39" s="226"/>
      <c r="W39" s="226">
        <f t="shared" ref="W39" si="3">W37*W24</f>
        <v>489.12611955836837</v>
      </c>
      <c r="X39" s="226"/>
      <c r="Y39" s="226">
        <f t="shared" ref="Y39" si="4">Y37*Y24</f>
        <v>1147.6557080703801</v>
      </c>
      <c r="Z39" s="226"/>
      <c r="AA39" s="226">
        <f t="shared" ref="AA39" si="5">AA37*AA24</f>
        <v>1730.788878657492</v>
      </c>
      <c r="AB39" s="226"/>
      <c r="AC39" s="226">
        <f t="shared" ref="AC39" si="6">AC37*AC24</f>
        <v>1380.7541123993326</v>
      </c>
      <c r="AD39" s="226"/>
      <c r="AE39" s="226">
        <f t="shared" ref="AE39" si="7">AE37*AE24</f>
        <v>2859.8339536240278</v>
      </c>
      <c r="AG39" s="223">
        <f>U39+W39+Y39+AA39+AC39+AE39</f>
        <v>7626.7694054134445</v>
      </c>
      <c r="AH39" s="223"/>
      <c r="AI39" s="118"/>
    </row>
    <row r="40" spans="1:35" ht="18.600000000000001" thickBot="1" x14ac:dyDescent="0.45">
      <c r="O40" s="230" t="s">
        <v>180</v>
      </c>
      <c r="P40" s="232">
        <f>10.5</f>
        <v>10.5</v>
      </c>
      <c r="Q40" s="224" t="s">
        <v>32</v>
      </c>
      <c r="U40" s="226"/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G40" s="225"/>
      <c r="AH40" s="118"/>
      <c r="AI40" s="118"/>
    </row>
    <row r="41" spans="1:35" ht="16.8" thickBot="1" x14ac:dyDescent="0.35">
      <c r="O41" s="230" t="s">
        <v>181</v>
      </c>
      <c r="P41" s="233">
        <f>ABS(P39-P40)</f>
        <v>0.17907136493997911</v>
      </c>
      <c r="T41" t="s">
        <v>173</v>
      </c>
      <c r="U41" s="218">
        <f>U39*U24</f>
        <v>2.7915949655766004</v>
      </c>
      <c r="V41" s="226"/>
      <c r="W41" s="226">
        <f t="shared" ref="W41" si="8">W39*W24</f>
        <v>2616.8247396372713</v>
      </c>
      <c r="X41" s="226"/>
      <c r="Y41" s="226">
        <f t="shared" ref="Y41" si="9">Y39*Y24</f>
        <v>10615.815299651016</v>
      </c>
      <c r="Z41" s="226"/>
      <c r="AA41" s="226">
        <f t="shared" ref="AA41" si="10">AA39*AA24</f>
        <v>24144.504857272012</v>
      </c>
      <c r="AB41" s="226"/>
      <c r="AC41" s="226">
        <f t="shared" ref="AC41" si="11">AC39*AC24</f>
        <v>26441.441252447217</v>
      </c>
      <c r="AD41" s="226"/>
      <c r="AE41" s="226">
        <f t="shared" ref="AE41" si="12">AE39*AE24</f>
        <v>65919.172631033827</v>
      </c>
      <c r="AG41" s="223">
        <f>U41+W41+Y41+AA41+AC41+AE41</f>
        <v>129740.55037500692</v>
      </c>
      <c r="AH41" s="118"/>
      <c r="AI41" s="118"/>
    </row>
    <row r="43" spans="1:35" ht="18" x14ac:dyDescent="0.35">
      <c r="A43" s="410" t="s">
        <v>183</v>
      </c>
      <c r="B43" s="410"/>
      <c r="C43" s="410"/>
      <c r="D43" s="410"/>
      <c r="E43" s="410"/>
      <c r="F43" s="410"/>
      <c r="G43" s="410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S43" s="410" t="s">
        <v>184</v>
      </c>
      <c r="T43" s="410"/>
      <c r="U43" s="410"/>
      <c r="V43" s="410"/>
      <c r="W43" s="410"/>
      <c r="X43" s="410"/>
      <c r="Y43" s="410"/>
      <c r="Z43" s="410"/>
      <c r="AA43" s="410"/>
      <c r="AB43" s="410"/>
      <c r="AC43" s="410"/>
      <c r="AD43" s="410"/>
      <c r="AE43" s="410"/>
      <c r="AF43" s="410"/>
      <c r="AG43" s="410"/>
      <c r="AH43" s="410"/>
      <c r="AI43" s="410"/>
    </row>
    <row r="44" spans="1:35" x14ac:dyDescent="0.3">
      <c r="AG44" s="118"/>
      <c r="AH44" s="118"/>
      <c r="AI44" s="118"/>
    </row>
    <row r="45" spans="1:35" ht="16.2" x14ac:dyDescent="0.3">
      <c r="B45" s="226" t="s">
        <v>176</v>
      </c>
      <c r="C45">
        <v>0.15</v>
      </c>
      <c r="E45">
        <f>C45+5.2</f>
        <v>5.3500000000000005</v>
      </c>
      <c r="G45">
        <f>E45+3.9</f>
        <v>9.25</v>
      </c>
      <c r="I45">
        <f>G45+4.7</f>
        <v>13.95</v>
      </c>
      <c r="K45">
        <f>I45+5.2</f>
        <v>19.149999999999999</v>
      </c>
      <c r="M45" s="23">
        <f>K45+3.9</f>
        <v>23.049999999999997</v>
      </c>
      <c r="O45" s="226" t="s">
        <v>157</v>
      </c>
      <c r="P45" s="226" t="s">
        <v>167</v>
      </c>
      <c r="Q45" s="226" t="s">
        <v>168</v>
      </c>
      <c r="T45" s="226" t="s">
        <v>176</v>
      </c>
      <c r="U45">
        <v>0.15</v>
      </c>
      <c r="W45">
        <f>U45+5.2</f>
        <v>5.3500000000000005</v>
      </c>
      <c r="Y45">
        <f>W45+3.9</f>
        <v>9.25</v>
      </c>
      <c r="AA45">
        <f>Y45+4.7</f>
        <v>13.95</v>
      </c>
      <c r="AC45">
        <f>AA45+5.2</f>
        <v>19.149999999999999</v>
      </c>
      <c r="AE45" s="23">
        <f>AC45+3.9</f>
        <v>23.049999999999997</v>
      </c>
      <c r="AG45" s="118"/>
      <c r="AH45" s="118"/>
      <c r="AI45" s="118"/>
    </row>
    <row r="46" spans="1:35" x14ac:dyDescent="0.3">
      <c r="AG46" s="118"/>
      <c r="AH46" s="118"/>
      <c r="AI46" s="118"/>
    </row>
    <row r="47" spans="1:35" ht="15" thickBot="1" x14ac:dyDescent="0.35">
      <c r="A47" s="4" t="s">
        <v>175</v>
      </c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S47" s="226" t="s">
        <v>175</v>
      </c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G47" s="118"/>
      <c r="AH47" s="118"/>
      <c r="AI47" s="118"/>
    </row>
    <row r="48" spans="1:35" ht="15" thickBot="1" x14ac:dyDescent="0.35">
      <c r="A48" s="218">
        <f>A50+5.15</f>
        <v>20.799999999999997</v>
      </c>
      <c r="B48" s="23"/>
      <c r="C48" s="226"/>
      <c r="D48" s="226"/>
      <c r="E48" s="226"/>
      <c r="F48" s="226"/>
      <c r="G48" s="226"/>
      <c r="H48" s="226"/>
      <c r="I48" s="229">
        <f>'Ap. tipologi di pila '!$H$149</f>
        <v>25.527264994959676</v>
      </c>
      <c r="J48" s="226"/>
      <c r="K48" s="229">
        <f>'Ap. tipologi di pila '!$H$135</f>
        <v>40.581805889423073</v>
      </c>
      <c r="L48" s="226"/>
      <c r="M48" s="229">
        <f>'Ap. tipologi di pila '!$H$149</f>
        <v>25.527264994959676</v>
      </c>
      <c r="O48" s="218">
        <f>I48+K48+M48</f>
        <v>91.636335879342425</v>
      </c>
      <c r="P48" s="226">
        <f>O48*A48</f>
        <v>1906.0357862903222</v>
      </c>
      <c r="Q48" s="218">
        <f>P48*A48</f>
        <v>39645.544354838697</v>
      </c>
      <c r="S48" s="23">
        <f>S50+5.15</f>
        <v>20.799999999999997</v>
      </c>
      <c r="T48" s="23"/>
      <c r="U48" s="226"/>
      <c r="V48" s="226"/>
      <c r="W48" s="226"/>
      <c r="X48" s="226"/>
      <c r="Y48" s="226"/>
      <c r="Z48" s="226"/>
      <c r="AA48" s="229">
        <f>'Ap. tipologi di pila '!$L$152</f>
        <v>11.377167625549118</v>
      </c>
      <c r="AB48" s="226"/>
      <c r="AC48" s="229">
        <f>'Ap. tipologi di pila '!$L$152</f>
        <v>11.377167625549118</v>
      </c>
      <c r="AD48" s="226"/>
      <c r="AE48" s="229">
        <f>'Ap. tipologi di pila '!$L$152</f>
        <v>11.377167625549118</v>
      </c>
      <c r="AG48" s="222"/>
      <c r="AH48" s="118"/>
      <c r="AI48" s="222"/>
    </row>
    <row r="49" spans="1:35" ht="15" thickBot="1" x14ac:dyDescent="0.35">
      <c r="A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O49" s="226"/>
      <c r="P49" s="226"/>
      <c r="Q49" s="218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G49" s="118"/>
      <c r="AH49" s="118"/>
      <c r="AI49" s="222"/>
    </row>
    <row r="50" spans="1:35" ht="15" thickBot="1" x14ac:dyDescent="0.35">
      <c r="A50" s="226">
        <f>A52+4.7</f>
        <v>15.649999999999999</v>
      </c>
      <c r="C50" s="229">
        <f>'Ap. tipologi di pila '!$H$149</f>
        <v>25.527264994959676</v>
      </c>
      <c r="D50" s="226"/>
      <c r="E50" s="229">
        <f>'Ap. tipologi di pila '!$H$135</f>
        <v>40.581805889423073</v>
      </c>
      <c r="F50" s="226"/>
      <c r="G50" s="229">
        <f>'Ap. tipologi di pila '!$H$135</f>
        <v>40.581805889423073</v>
      </c>
      <c r="H50" s="226"/>
      <c r="I50" s="229">
        <f>'Ap. tipologi di pila '!$H$168</f>
        <v>12.39739129680471</v>
      </c>
      <c r="J50" s="226"/>
      <c r="K50" s="229">
        <f>'Ap. tipologi di pila '!$H$168</f>
        <v>12.39739129680471</v>
      </c>
      <c r="L50" s="226"/>
      <c r="M50" s="229">
        <f>'Ap. tipologi di pila '!$H$152</f>
        <v>11.889994880790901</v>
      </c>
      <c r="O50" s="218">
        <f>C50+E50+G50+I50+K50+M50</f>
        <v>143.37565424820616</v>
      </c>
      <c r="P50" s="226">
        <f>O50*A50</f>
        <v>2243.8289889844264</v>
      </c>
      <c r="Q50" s="218">
        <f>P50*A50</f>
        <v>35115.923677606268</v>
      </c>
      <c r="S50">
        <f>S52+4.7</f>
        <v>15.649999999999999</v>
      </c>
      <c r="U50" s="229">
        <f>'Ap. tipologi di pila '!$L$152</f>
        <v>11.377167625549118</v>
      </c>
      <c r="V50" s="226"/>
      <c r="W50" s="229">
        <f>'Ap. tipologi di pila '!$L$152</f>
        <v>11.377167625549118</v>
      </c>
      <c r="X50" s="226"/>
      <c r="Y50" s="229">
        <f>'Ap. tipologi di pila '!$L$152</f>
        <v>11.377167625549118</v>
      </c>
      <c r="Z50" s="226"/>
      <c r="AA50" s="229">
        <f>'Ap. tipologi di pila '!$L$135</f>
        <v>37.683105468749993</v>
      </c>
      <c r="AB50" s="226"/>
      <c r="AC50" s="229">
        <f>'Ap. tipologi di pila '!L163</f>
        <v>25.592702981005679</v>
      </c>
      <c r="AD50" s="226"/>
      <c r="AE50" s="229">
        <f>'Ap. tipologi di pila '!$L$135</f>
        <v>37.683105468749993</v>
      </c>
      <c r="AG50" s="222"/>
      <c r="AH50" s="118"/>
      <c r="AI50" s="222"/>
    </row>
    <row r="51" spans="1:35" ht="15" thickBot="1" x14ac:dyDescent="0.35">
      <c r="A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O51" s="226"/>
      <c r="P51" s="226"/>
      <c r="Q51" s="218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G51" s="118"/>
      <c r="AH51" s="118"/>
      <c r="AI51" s="222"/>
    </row>
    <row r="52" spans="1:35" ht="15" thickBot="1" x14ac:dyDescent="0.35">
      <c r="A52" s="226">
        <f>A54+5.6</f>
        <v>10.95</v>
      </c>
      <c r="C52" s="229">
        <f>'Ap. tipologi di pila '!$H$159</f>
        <v>3.6848262032085555</v>
      </c>
      <c r="D52" s="226"/>
      <c r="E52" s="229">
        <f>'Ap. tipologi di pila '!H145</f>
        <v>6.1270171249794156</v>
      </c>
      <c r="F52" s="226"/>
      <c r="G52" s="229">
        <f>'Ap. tipologi di pila '!H168</f>
        <v>12.39739129680471</v>
      </c>
      <c r="H52" s="226"/>
      <c r="I52" s="229">
        <f>'Ap. tipologi di pila '!H138</f>
        <v>14.373576051652369</v>
      </c>
      <c r="J52" s="226"/>
      <c r="K52" s="229">
        <f>'Ap. tipologi di pila '!$H$135</f>
        <v>40.581805889423073</v>
      </c>
      <c r="L52" s="226"/>
      <c r="M52" s="229">
        <f>'Ap. tipologi di pila '!$H$152</f>
        <v>11.889994880790901</v>
      </c>
      <c r="O52" s="218">
        <f>C52+E52+G52+I52+K52+M52</f>
        <v>89.054611446859042</v>
      </c>
      <c r="P52" s="226">
        <f>O52*A52</f>
        <v>975.14799534310646</v>
      </c>
      <c r="Q52" s="218">
        <f>P52*A52</f>
        <v>10677.870549007015</v>
      </c>
      <c r="S52">
        <f>S54+5.6</f>
        <v>10.95</v>
      </c>
      <c r="U52" s="229">
        <f>'Ap. tipologi di pila '!$L$135</f>
        <v>37.683105468749993</v>
      </c>
      <c r="V52" s="226"/>
      <c r="W52" s="229">
        <f>'Ap. tipologi di pila '!$L$135</f>
        <v>37.683105468749993</v>
      </c>
      <c r="X52" s="226"/>
      <c r="Y52" s="229">
        <f>'Ap. tipologi di pila '!$L$135</f>
        <v>37.683105468749993</v>
      </c>
      <c r="Z52" s="226"/>
      <c r="AA52" s="229">
        <f>'Ap. tipologi di pila '!$L$135</f>
        <v>37.683105468749993</v>
      </c>
      <c r="AB52" s="226"/>
      <c r="AC52" s="229">
        <f>'Ap. tipologi di pila '!L168</f>
        <v>11.904172076847802</v>
      </c>
      <c r="AD52" s="226"/>
      <c r="AE52" s="229">
        <f>'Ap. tipologi di pila '!$L$135</f>
        <v>37.683105468749993</v>
      </c>
      <c r="AG52" s="222"/>
      <c r="AH52" s="118"/>
      <c r="AI52" s="222"/>
    </row>
    <row r="53" spans="1:35" ht="15" thickBot="1" x14ac:dyDescent="0.35">
      <c r="A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O53" s="226"/>
      <c r="P53" s="226"/>
      <c r="Q53" s="218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G53" s="118"/>
      <c r="AI53" s="222"/>
    </row>
    <row r="54" spans="1:35" ht="16.2" thickBot="1" x14ac:dyDescent="0.4">
      <c r="A54" s="226">
        <f>A56+5.2</f>
        <v>5.3500000000000005</v>
      </c>
      <c r="C54" s="229">
        <f>'Ap. tipologi di pila '!$H$159</f>
        <v>3.6848262032085555</v>
      </c>
      <c r="D54" s="226"/>
      <c r="E54" s="229">
        <f>'Ap. tipologi di pila '!H142</f>
        <v>8.4544409641235845</v>
      </c>
      <c r="F54" s="226"/>
      <c r="G54" s="229">
        <f>'Ap. tipologi di pila '!H168</f>
        <v>12.39739129680471</v>
      </c>
      <c r="H54" s="226"/>
      <c r="I54" s="229">
        <f>'Ap. tipologi di pila '!$H$135</f>
        <v>40.581805889423073</v>
      </c>
      <c r="J54" s="226"/>
      <c r="K54" s="229">
        <f>'Ap. tipologi di pila '!$H$135</f>
        <v>40.581805889423073</v>
      </c>
      <c r="L54" s="226"/>
      <c r="M54" s="229">
        <f>'Ap. tipologi di pila '!$H$149</f>
        <v>25.527264994959676</v>
      </c>
      <c r="O54" s="218">
        <f>C54+E54+G54+I54+K54+M54</f>
        <v>131.22753523794265</v>
      </c>
      <c r="P54" s="226">
        <f>O54*A54</f>
        <v>702.06731352299323</v>
      </c>
      <c r="Q54" s="218">
        <f>P54*A54</f>
        <v>3756.0601273480142</v>
      </c>
      <c r="S54">
        <f>S56+5.2</f>
        <v>5.3500000000000005</v>
      </c>
      <c r="U54" s="229">
        <f>'Ap. tipologi di pila '!$L$135</f>
        <v>37.683105468749993</v>
      </c>
      <c r="V54" s="226"/>
      <c r="W54" s="229">
        <f>'Ap. tipologi di pila '!L138</f>
        <v>13.992351539476912</v>
      </c>
      <c r="X54" s="226"/>
      <c r="Y54" s="229">
        <f>'Ap. tipologi di pila '!$L$135</f>
        <v>37.683105468749993</v>
      </c>
      <c r="Z54" s="226"/>
      <c r="AA54" s="229">
        <f>'Ap. tipologi di pila '!$L$152</f>
        <v>11.377167625549118</v>
      </c>
      <c r="AB54" s="226"/>
      <c r="AC54" s="229">
        <f>'Ap. tipologi di pila '!$L$152</f>
        <v>11.377167625549118</v>
      </c>
      <c r="AD54" s="226"/>
      <c r="AE54" s="229">
        <f>'Ap. tipologi di pila '!$L$152</f>
        <v>11.377167625549118</v>
      </c>
      <c r="AG54" s="220" t="s">
        <v>174</v>
      </c>
      <c r="AH54" s="221">
        <f>AG60/AG58</f>
        <v>11.580481255073112</v>
      </c>
      <c r="AI54" s="222"/>
    </row>
    <row r="55" spans="1:35" ht="18.600000000000001" thickBot="1" x14ac:dyDescent="0.45">
      <c r="A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O55" s="226"/>
      <c r="P55" s="226"/>
      <c r="Q55" s="218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G55" s="230" t="s">
        <v>182</v>
      </c>
      <c r="AH55" s="231">
        <f>11.4</f>
        <v>11.4</v>
      </c>
      <c r="AI55" s="222"/>
    </row>
    <row r="56" spans="1:35" ht="16.2" thickBot="1" x14ac:dyDescent="0.35">
      <c r="A56" s="226">
        <f>0.15</f>
        <v>0.15</v>
      </c>
      <c r="C56" s="229">
        <f>'Ap. tipologi di pila '!$H$149</f>
        <v>25.527264994959676</v>
      </c>
      <c r="D56" s="226"/>
      <c r="E56" s="229">
        <f>'Ap. tipologi di pila '!$H$135</f>
        <v>40.581805889423073</v>
      </c>
      <c r="F56" s="226"/>
      <c r="G56" s="229">
        <f>'Ap. tipologi di pila '!$H$149</f>
        <v>25.527264994959676</v>
      </c>
      <c r="H56" s="226"/>
      <c r="I56" s="226"/>
      <c r="J56" s="226"/>
      <c r="K56" s="226"/>
      <c r="L56" s="226"/>
      <c r="M56" s="226"/>
      <c r="O56" s="218">
        <f>C56+E56+G56</f>
        <v>91.636335879342425</v>
      </c>
      <c r="P56" s="226">
        <f>O56*A56</f>
        <v>13.745450381901364</v>
      </c>
      <c r="Q56" s="218">
        <f>P56*A56</f>
        <v>2.0618175572852047</v>
      </c>
      <c r="S56">
        <f>0.15</f>
        <v>0.15</v>
      </c>
      <c r="U56" s="229">
        <f>'Ap. tipologi di pila '!$L$152</f>
        <v>11.377167625549118</v>
      </c>
      <c r="V56" s="226"/>
      <c r="W56" s="229">
        <f>'Ap. tipologi di pila '!$L$152</f>
        <v>11.377167625549118</v>
      </c>
      <c r="X56" s="226"/>
      <c r="Y56" s="229">
        <f>'Ap. tipologi di pila '!$L$152</f>
        <v>11.377167625549118</v>
      </c>
      <c r="Z56" s="226"/>
      <c r="AA56" s="226"/>
      <c r="AB56" s="226"/>
      <c r="AC56" s="226"/>
      <c r="AD56" s="226"/>
      <c r="AE56" s="226"/>
      <c r="AG56" s="230" t="s">
        <v>181</v>
      </c>
      <c r="AH56" s="233">
        <f>ABS(AH54-AH55)</f>
        <v>0.18048125507311141</v>
      </c>
      <c r="AI56" s="222"/>
    </row>
    <row r="57" spans="1:35" x14ac:dyDescent="0.3"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O57" s="226"/>
      <c r="P57" s="226"/>
      <c r="Q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G57" s="118"/>
      <c r="AH57" s="118"/>
      <c r="AI57" s="118"/>
    </row>
    <row r="58" spans="1:35" x14ac:dyDescent="0.3">
      <c r="O58" s="227">
        <f>O48+O50+O52+O54+O56</f>
        <v>546.93047269169278</v>
      </c>
      <c r="P58" s="228">
        <f>P48+P50+P52+P54+P56</f>
        <v>5840.8255345227499</v>
      </c>
      <c r="Q58" s="228">
        <f>Q48+Q50+Q52+Q54+Q56</f>
        <v>89197.460526357288</v>
      </c>
      <c r="T58" t="s">
        <v>157</v>
      </c>
      <c r="U58" s="218">
        <f>U50+U52+U54+U56</f>
        <v>98.120546188598226</v>
      </c>
      <c r="V58" s="226"/>
      <c r="W58" s="218">
        <f>W50+W52+W54+W56</f>
        <v>74.42979225932514</v>
      </c>
      <c r="X58" s="226"/>
      <c r="Y58" s="218">
        <f>Y50+Y52+Y54+Y56</f>
        <v>98.120546188598226</v>
      </c>
      <c r="Z58" s="226"/>
      <c r="AA58" s="218">
        <f>AA48+AA50+AA52+AA54</f>
        <v>98.120546188598226</v>
      </c>
      <c r="AB58" s="226"/>
      <c r="AC58" s="218">
        <f>AC48+AC50+AC52+AC54</f>
        <v>60.25121030895172</v>
      </c>
      <c r="AD58" s="226"/>
      <c r="AE58" s="218">
        <f>AE48+AE50+AE52+AE54</f>
        <v>98.120546188598226</v>
      </c>
      <c r="AG58" s="223">
        <f>U58+W58+Y58+AA58+AC58+AE58</f>
        <v>527.16318732266973</v>
      </c>
      <c r="AH58" s="118"/>
      <c r="AI58" s="118"/>
    </row>
    <row r="59" spans="1:35" ht="15" thickBot="1" x14ac:dyDescent="0.35"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G59" s="225"/>
      <c r="AH59" s="118"/>
      <c r="AI59" s="118"/>
    </row>
    <row r="60" spans="1:35" ht="16.2" thickBot="1" x14ac:dyDescent="0.4">
      <c r="O60" s="220" t="s">
        <v>169</v>
      </c>
      <c r="P60" s="221">
        <f>P58/O58</f>
        <v>10.679283430263814</v>
      </c>
      <c r="T60" t="s">
        <v>172</v>
      </c>
      <c r="U60" s="218">
        <f>U58*U45</f>
        <v>14.718081928289733</v>
      </c>
      <c r="V60" s="226"/>
      <c r="W60" s="226">
        <f t="shared" ref="W60" si="13">W58*W45</f>
        <v>398.19938858738954</v>
      </c>
      <c r="X60" s="226"/>
      <c r="Y60" s="226">
        <f t="shared" ref="Y60" si="14">Y58*Y45</f>
        <v>907.61505224453356</v>
      </c>
      <c r="Z60" s="226"/>
      <c r="AA60" s="226">
        <f t="shared" ref="AA60" si="15">AA58*AA45</f>
        <v>1368.7816193309452</v>
      </c>
      <c r="AB60" s="226"/>
      <c r="AC60" s="226">
        <f t="shared" ref="AC60" si="16">AC58*AC45</f>
        <v>1153.8106774164253</v>
      </c>
      <c r="AD60" s="226"/>
      <c r="AE60" s="226">
        <f t="shared" ref="AE60" si="17">AE58*AE45</f>
        <v>2261.6785896471888</v>
      </c>
      <c r="AG60" s="223">
        <f>U60+W60+Y60+AA60+AC60+AE60</f>
        <v>6104.8034091547725</v>
      </c>
      <c r="AH60" s="223"/>
      <c r="AI60" s="118"/>
    </row>
    <row r="61" spans="1:35" ht="18.600000000000001" thickBot="1" x14ac:dyDescent="0.45">
      <c r="O61" s="230" t="s">
        <v>180</v>
      </c>
      <c r="P61" s="232">
        <f>10.54</f>
        <v>10.54</v>
      </c>
      <c r="U61" s="226"/>
      <c r="V61" s="226"/>
      <c r="W61" s="226"/>
      <c r="X61" s="226"/>
      <c r="Y61" s="226"/>
      <c r="Z61" s="226"/>
      <c r="AA61" s="226"/>
      <c r="AB61" s="226"/>
      <c r="AC61" s="226"/>
      <c r="AD61" s="226"/>
      <c r="AE61" s="226"/>
      <c r="AG61" s="225"/>
      <c r="AH61" s="118"/>
      <c r="AI61" s="118"/>
    </row>
    <row r="62" spans="1:35" ht="16.8" thickBot="1" x14ac:dyDescent="0.35">
      <c r="O62" s="230" t="s">
        <v>181</v>
      </c>
      <c r="P62" s="233">
        <f>ABS(P60-P61)</f>
        <v>0.13928343026381462</v>
      </c>
      <c r="T62" t="s">
        <v>173</v>
      </c>
      <c r="U62" s="218">
        <f>U60*U45</f>
        <v>2.2077122892434597</v>
      </c>
      <c r="V62" s="226"/>
      <c r="W62" s="226">
        <f t="shared" ref="W62" si="18">W60*W45</f>
        <v>2130.3667289425343</v>
      </c>
      <c r="X62" s="226"/>
      <c r="Y62" s="226">
        <f t="shared" ref="Y62" si="19">Y60*Y45</f>
        <v>8395.4392332619354</v>
      </c>
      <c r="Z62" s="226"/>
      <c r="AA62" s="226">
        <f t="shared" ref="AA62" si="20">AA60*AA45</f>
        <v>19094.503589666685</v>
      </c>
      <c r="AB62" s="226"/>
      <c r="AC62" s="226">
        <f t="shared" ref="AC62" si="21">AC60*AC45</f>
        <v>22095.474472524544</v>
      </c>
      <c r="AD62" s="226"/>
      <c r="AE62" s="226">
        <f t="shared" ref="AE62" si="22">AE60*AE45</f>
        <v>52131.691491367696</v>
      </c>
      <c r="AG62" s="223">
        <f>U62+W62+Y62+AA62+AC62+AE62</f>
        <v>103849.68322805263</v>
      </c>
      <c r="AH62" s="118"/>
      <c r="AI62" s="118"/>
    </row>
    <row r="64" spans="1:35" ht="18" x14ac:dyDescent="0.35">
      <c r="A64" s="410" t="s">
        <v>185</v>
      </c>
      <c r="B64" s="410"/>
      <c r="C64" s="410"/>
      <c r="D64" s="410"/>
      <c r="E64" s="410"/>
      <c r="F64" s="410"/>
      <c r="G64" s="410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S64" s="410" t="s">
        <v>186</v>
      </c>
      <c r="T64" s="410"/>
      <c r="U64" s="410"/>
      <c r="V64" s="410"/>
      <c r="W64" s="410"/>
      <c r="X64" s="410"/>
      <c r="Y64" s="410"/>
      <c r="Z64" s="410"/>
      <c r="AA64" s="410"/>
      <c r="AB64" s="410"/>
      <c r="AC64" s="410"/>
      <c r="AD64" s="410"/>
      <c r="AE64" s="410"/>
      <c r="AF64" s="410"/>
      <c r="AG64" s="410"/>
      <c r="AH64" s="410"/>
      <c r="AI64" s="410"/>
    </row>
    <row r="65" spans="1:35" x14ac:dyDescent="0.3">
      <c r="AG65" s="118"/>
      <c r="AH65" s="118"/>
      <c r="AI65" s="118"/>
    </row>
    <row r="66" spans="1:35" ht="16.2" x14ac:dyDescent="0.3">
      <c r="B66" s="226" t="s">
        <v>176</v>
      </c>
      <c r="C66">
        <v>0.15</v>
      </c>
      <c r="E66">
        <f>C66+5.2</f>
        <v>5.3500000000000005</v>
      </c>
      <c r="G66">
        <f>E66+3.9</f>
        <v>9.25</v>
      </c>
      <c r="I66">
        <f>G66+4.7</f>
        <v>13.95</v>
      </c>
      <c r="K66">
        <f>I66+5.2</f>
        <v>19.149999999999999</v>
      </c>
      <c r="M66" s="23">
        <f>K66+3.9</f>
        <v>23.049999999999997</v>
      </c>
      <c r="O66" s="226" t="s">
        <v>157</v>
      </c>
      <c r="P66" s="226" t="s">
        <v>167</v>
      </c>
      <c r="Q66" s="226" t="s">
        <v>168</v>
      </c>
      <c r="T66" s="226" t="s">
        <v>176</v>
      </c>
      <c r="U66">
        <v>0.15</v>
      </c>
      <c r="W66">
        <f>U66+5.2</f>
        <v>5.3500000000000005</v>
      </c>
      <c r="Y66">
        <f>W66+3.9</f>
        <v>9.25</v>
      </c>
      <c r="AA66">
        <f>Y66+4.7</f>
        <v>13.95</v>
      </c>
      <c r="AC66">
        <f>AA66+5.2</f>
        <v>19.149999999999999</v>
      </c>
      <c r="AE66" s="23">
        <f>AC66+3.9</f>
        <v>23.049999999999997</v>
      </c>
      <c r="AG66" s="118"/>
      <c r="AH66" s="118"/>
      <c r="AI66" s="118"/>
    </row>
    <row r="67" spans="1:35" x14ac:dyDescent="0.3">
      <c r="AG67" s="118"/>
      <c r="AH67" s="118"/>
      <c r="AI67" s="118"/>
    </row>
    <row r="68" spans="1:35" ht="15" thickBot="1" x14ac:dyDescent="0.35">
      <c r="A68" s="4" t="s">
        <v>175</v>
      </c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S68" s="226" t="s">
        <v>175</v>
      </c>
      <c r="U68" s="226"/>
      <c r="V68" s="226"/>
      <c r="W68" s="226"/>
      <c r="X68" s="226"/>
      <c r="Y68" s="226"/>
      <c r="Z68" s="226"/>
      <c r="AA68" s="226"/>
      <c r="AB68" s="226"/>
      <c r="AC68" s="226"/>
      <c r="AD68" s="226"/>
      <c r="AE68" s="226"/>
      <c r="AG68" s="118"/>
      <c r="AH68" s="118"/>
      <c r="AI68" s="118"/>
    </row>
    <row r="69" spans="1:35" ht="15" thickBot="1" x14ac:dyDescent="0.35">
      <c r="A69" s="218">
        <f>A71+5.15</f>
        <v>20.799999999999997</v>
      </c>
      <c r="B69" s="23"/>
      <c r="C69" s="226"/>
      <c r="D69" s="226"/>
      <c r="E69" s="226"/>
      <c r="F69" s="226"/>
      <c r="G69" s="226"/>
      <c r="H69" s="226"/>
      <c r="I69" s="229">
        <f>'Ap. tipologi di pila '!$H$106</f>
        <v>20.956361969748052</v>
      </c>
      <c r="J69" s="226"/>
      <c r="K69" s="229">
        <f>'Ap. tipologi di pila '!$H$92</f>
        <v>34.585576692043098</v>
      </c>
      <c r="L69" s="226"/>
      <c r="M69" s="229">
        <f>'Ap. tipologi di pila '!$H$106</f>
        <v>20.956361969748052</v>
      </c>
      <c r="O69" s="218">
        <f>I69+K69+M69</f>
        <v>76.498300631539195</v>
      </c>
      <c r="P69" s="226">
        <f>O69*A69</f>
        <v>1591.164653136015</v>
      </c>
      <c r="Q69" s="218">
        <f>P69*A69</f>
        <v>33096.224785229104</v>
      </c>
      <c r="S69" s="23">
        <f>S71+5.15</f>
        <v>20.799999999999997</v>
      </c>
      <c r="T69" s="23"/>
      <c r="U69" s="226"/>
      <c r="V69" s="226"/>
      <c r="W69" s="226"/>
      <c r="X69" s="226"/>
      <c r="Y69" s="226"/>
      <c r="Z69" s="226"/>
      <c r="AA69" s="229">
        <f>'Ap. tipologi di pila '!$L$109</f>
        <v>10.250708630059968</v>
      </c>
      <c r="AB69" s="226"/>
      <c r="AC69" s="229">
        <f>'Ap. tipologi di pila '!$L$109</f>
        <v>10.250708630059968</v>
      </c>
      <c r="AD69" s="226"/>
      <c r="AE69" s="229">
        <f>'Ap. tipologi di pila '!$L$109</f>
        <v>10.250708630059968</v>
      </c>
      <c r="AG69" s="222"/>
      <c r="AH69" s="118"/>
      <c r="AI69" s="222"/>
    </row>
    <row r="70" spans="1:35" ht="15" thickBot="1" x14ac:dyDescent="0.35">
      <c r="A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O70" s="226"/>
      <c r="P70" s="226"/>
      <c r="Q70" s="218"/>
      <c r="U70" s="226"/>
      <c r="V70" s="226"/>
      <c r="W70" s="226"/>
      <c r="X70" s="226"/>
      <c r="Y70" s="226"/>
      <c r="Z70" s="226"/>
      <c r="AA70" s="226"/>
      <c r="AB70" s="226"/>
      <c r="AC70" s="226"/>
      <c r="AD70" s="226"/>
      <c r="AE70" s="226"/>
      <c r="AG70" s="118"/>
      <c r="AH70" s="118"/>
      <c r="AI70" s="222"/>
    </row>
    <row r="71" spans="1:35" ht="15" thickBot="1" x14ac:dyDescent="0.35">
      <c r="A71" s="226">
        <f>A73+4.7</f>
        <v>15.649999999999999</v>
      </c>
      <c r="C71" s="229">
        <f>'Ap. tipologi di pila '!$H$106</f>
        <v>20.956361969748052</v>
      </c>
      <c r="D71" s="226"/>
      <c r="E71" s="229">
        <f>'Ap. tipologi di pila '!$H$92</f>
        <v>34.585576692043098</v>
      </c>
      <c r="F71" s="226"/>
      <c r="G71" s="229">
        <f>'Ap. tipologi di pila '!$H$92</f>
        <v>34.585576692043098</v>
      </c>
      <c r="H71" s="226"/>
      <c r="I71" s="229">
        <f>'Ap. tipologi di pila '!$H$125</f>
        <v>11.51142668654699</v>
      </c>
      <c r="J71" s="226"/>
      <c r="K71" s="229">
        <f>'Ap. tipologi di pila '!$H$125</f>
        <v>11.51142668654699</v>
      </c>
      <c r="L71" s="226"/>
      <c r="M71" s="229">
        <f>'Ap. tipologi di pila '!$H$109</f>
        <v>10.793456029188896</v>
      </c>
      <c r="O71" s="218">
        <f>C71+E71+G71+I71+K71+M71</f>
        <v>123.94382475611712</v>
      </c>
      <c r="P71" s="226">
        <f>O71*A71</f>
        <v>1939.7208574332328</v>
      </c>
      <c r="Q71" s="218">
        <f>P71*A71</f>
        <v>30356.631418830089</v>
      </c>
      <c r="S71">
        <f>S73+4.7</f>
        <v>15.649999999999999</v>
      </c>
      <c r="U71" s="229">
        <f>'Ap. tipologi di pila '!$L$109</f>
        <v>10.250708630059968</v>
      </c>
      <c r="V71" s="226"/>
      <c r="W71" s="229">
        <f>'Ap. tipologi di pila '!$L$109</f>
        <v>10.250708630059968</v>
      </c>
      <c r="X71" s="226"/>
      <c r="Y71" s="229">
        <f>'Ap. tipologi di pila '!$L$109</f>
        <v>10.250708630059968</v>
      </c>
      <c r="Z71" s="226"/>
      <c r="AA71" s="229">
        <f>'Ap. tipologi di pila '!$L$92</f>
        <v>31.881109093770394</v>
      </c>
      <c r="AB71" s="226"/>
      <c r="AC71" s="229">
        <f>'Ap. tipologi di pila '!L120</f>
        <v>21.695992771544809</v>
      </c>
      <c r="AD71" s="226"/>
      <c r="AE71" s="229">
        <f>'Ap. tipologi di pila '!$L$92</f>
        <v>31.881109093770394</v>
      </c>
      <c r="AG71" s="222"/>
      <c r="AH71" s="118"/>
      <c r="AI71" s="222"/>
    </row>
    <row r="72" spans="1:35" ht="15" thickBot="1" x14ac:dyDescent="0.35">
      <c r="A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O72" s="226"/>
      <c r="P72" s="226"/>
      <c r="Q72" s="218"/>
      <c r="U72" s="226"/>
      <c r="V72" s="226"/>
      <c r="W72" s="226"/>
      <c r="X72" s="226"/>
      <c r="Y72" s="226"/>
      <c r="Z72" s="226"/>
      <c r="AA72" s="226"/>
      <c r="AB72" s="226"/>
      <c r="AC72" s="226"/>
      <c r="AD72" s="226"/>
      <c r="AE72" s="226"/>
      <c r="AG72" s="118"/>
      <c r="AH72" s="118"/>
      <c r="AI72" s="222"/>
    </row>
    <row r="73" spans="1:35" ht="15" thickBot="1" x14ac:dyDescent="0.35">
      <c r="A73" s="226">
        <f>A75+5.6</f>
        <v>10.95</v>
      </c>
      <c r="C73" s="229">
        <f>'Ap. tipologi di pila '!$H$116</f>
        <v>3.6848262032085555</v>
      </c>
      <c r="D73" s="226"/>
      <c r="E73" s="229">
        <f>'Ap. tipologi di pila '!H102</f>
        <v>6.1270171249794156</v>
      </c>
      <c r="F73" s="226"/>
      <c r="G73" s="229">
        <f>'Ap. tipologi di pila '!$H$125</f>
        <v>11.51142668654699</v>
      </c>
      <c r="H73" s="226"/>
      <c r="I73" s="229">
        <f>'Ap. tipologi di pila '!H95</f>
        <v>13.54200450840777</v>
      </c>
      <c r="J73" s="226"/>
      <c r="K73" s="229">
        <f>'Ap. tipologi di pila '!$H$92</f>
        <v>34.585576692043098</v>
      </c>
      <c r="L73" s="226"/>
      <c r="M73" s="229">
        <f>'Ap. tipologi di pila '!$H$109</f>
        <v>10.793456029188896</v>
      </c>
      <c r="O73" s="218">
        <f>C73+E73+G73+I73+K73+M73</f>
        <v>80.24430724437471</v>
      </c>
      <c r="P73" s="226">
        <f>O73*A73</f>
        <v>878.67516432590298</v>
      </c>
      <c r="Q73" s="218">
        <f>P73*A73</f>
        <v>9621.493049368637</v>
      </c>
      <c r="S73">
        <f>S75+5.6</f>
        <v>10.95</v>
      </c>
      <c r="U73" s="229">
        <f>'Ap. tipologi di pila '!$L$92</f>
        <v>31.881109093770394</v>
      </c>
      <c r="V73" s="226"/>
      <c r="W73" s="229">
        <f>'Ap. tipologi di pila '!$L$92</f>
        <v>31.881109093770394</v>
      </c>
      <c r="X73" s="226"/>
      <c r="Y73" s="229">
        <f>'Ap. tipologi di pila '!$L$92</f>
        <v>31.881109093770394</v>
      </c>
      <c r="Z73" s="226"/>
      <c r="AA73" s="229">
        <f>'Ap. tipologi di pila '!$L$92</f>
        <v>31.881109093770394</v>
      </c>
      <c r="AB73" s="226"/>
      <c r="AC73" s="229">
        <f>'Ap. tipologi di pila '!L125</f>
        <v>10.986356724585793</v>
      </c>
      <c r="AD73" s="226"/>
      <c r="AE73" s="229">
        <f>'Ap. tipologi di pila '!$L$92</f>
        <v>31.881109093770394</v>
      </c>
      <c r="AG73" s="222"/>
      <c r="AH73" s="118"/>
      <c r="AI73" s="222"/>
    </row>
    <row r="74" spans="1:35" ht="15" thickBot="1" x14ac:dyDescent="0.35">
      <c r="A74" s="226"/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O74" s="226"/>
      <c r="P74" s="226"/>
      <c r="Q74" s="218"/>
      <c r="U74" s="226"/>
      <c r="V74" s="226"/>
      <c r="W74" s="226"/>
      <c r="X74" s="226"/>
      <c r="Y74" s="226"/>
      <c r="Z74" s="226"/>
      <c r="AA74" s="226"/>
      <c r="AB74" s="226"/>
      <c r="AC74" s="226"/>
      <c r="AD74" s="226"/>
      <c r="AE74" s="226"/>
      <c r="AG74" s="118"/>
      <c r="AI74" s="222"/>
    </row>
    <row r="75" spans="1:35" ht="16.2" thickBot="1" x14ac:dyDescent="0.4">
      <c r="A75" s="226">
        <f>A77+5.2</f>
        <v>5.3500000000000005</v>
      </c>
      <c r="C75" s="229">
        <f>'Ap. tipologi di pila '!$H$116</f>
        <v>3.6848262032085555</v>
      </c>
      <c r="D75" s="226"/>
      <c r="E75" s="229">
        <f>'Ap. tipologi di pila '!H99</f>
        <v>8.4544409641235845</v>
      </c>
      <c r="F75" s="226"/>
      <c r="G75" s="229">
        <f>'Ap. tipologi di pila '!$H$125</f>
        <v>11.51142668654699</v>
      </c>
      <c r="H75" s="226"/>
      <c r="I75" s="229">
        <f>'Ap. tipologi di pila '!$H$92</f>
        <v>34.585576692043098</v>
      </c>
      <c r="J75" s="226"/>
      <c r="K75" s="229">
        <f>'Ap. tipologi di pila '!$H$92</f>
        <v>34.585576692043098</v>
      </c>
      <c r="L75" s="226"/>
      <c r="M75" s="229">
        <f>'Ap. tipologi di pila '!$H$106</f>
        <v>20.956361969748052</v>
      </c>
      <c r="O75" s="218">
        <f>C75+E75+G75+I75+K75+M75</f>
        <v>113.77820920771339</v>
      </c>
      <c r="P75" s="226">
        <f>O75*A75</f>
        <v>608.71341926126672</v>
      </c>
      <c r="Q75" s="218">
        <f>P75*A75</f>
        <v>3256.6167930477773</v>
      </c>
      <c r="S75">
        <f>S77+5.2</f>
        <v>5.3500000000000005</v>
      </c>
      <c r="U75" s="229">
        <f>'Ap. tipologi di pila '!$L$92</f>
        <v>31.881109093770394</v>
      </c>
      <c r="V75" s="226"/>
      <c r="W75" s="229">
        <f>'Ap. tipologi di pila '!L95</f>
        <v>13.106664601943791</v>
      </c>
      <c r="X75" s="226"/>
      <c r="Y75" s="229">
        <f>'Ap. tipologi di pila '!$L$92</f>
        <v>31.881109093770394</v>
      </c>
      <c r="Z75" s="226"/>
      <c r="AA75" s="229">
        <f>'Ap. tipologi di pila '!$L$109</f>
        <v>10.250708630059968</v>
      </c>
      <c r="AB75" s="226"/>
      <c r="AC75" s="229">
        <f>'Ap. tipologi di pila '!$L$109</f>
        <v>10.250708630059968</v>
      </c>
      <c r="AD75" s="226"/>
      <c r="AE75" s="229">
        <f>'Ap. tipologi di pila '!$L$109</f>
        <v>10.250708630059968</v>
      </c>
      <c r="AG75" s="220" t="s">
        <v>174</v>
      </c>
      <c r="AH75" s="221">
        <f>AG81/AG79</f>
        <v>11.582950327832421</v>
      </c>
      <c r="AI75" s="222"/>
    </row>
    <row r="76" spans="1:35" ht="18.600000000000001" thickBot="1" x14ac:dyDescent="0.45">
      <c r="A76" s="226"/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O76" s="226"/>
      <c r="P76" s="226"/>
      <c r="Q76" s="218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6"/>
      <c r="AG76" s="230" t="s">
        <v>182</v>
      </c>
      <c r="AH76" s="231">
        <f>11.4</f>
        <v>11.4</v>
      </c>
      <c r="AI76" s="222"/>
    </row>
    <row r="77" spans="1:35" ht="16.2" thickBot="1" x14ac:dyDescent="0.35">
      <c r="A77" s="226">
        <f>0.15</f>
        <v>0.15</v>
      </c>
      <c r="C77" s="229">
        <f>'Ap. tipologi di pila '!$H$106</f>
        <v>20.956361969748052</v>
      </c>
      <c r="D77" s="226"/>
      <c r="E77" s="229">
        <f>'Ap. tipologi di pila '!$H$92</f>
        <v>34.585576692043098</v>
      </c>
      <c r="F77" s="226"/>
      <c r="G77" s="229">
        <f>'Ap. tipologi di pila '!$H$106</f>
        <v>20.956361969748052</v>
      </c>
      <c r="H77" s="226"/>
      <c r="I77" s="226"/>
      <c r="J77" s="226"/>
      <c r="K77" s="226"/>
      <c r="L77" s="226"/>
      <c r="M77" s="226"/>
      <c r="O77" s="218">
        <f>C77+E77+G77</f>
        <v>76.498300631539195</v>
      </c>
      <c r="P77" s="226">
        <f>O77*A77</f>
        <v>11.47474509473088</v>
      </c>
      <c r="Q77" s="218">
        <f>P77*A77</f>
        <v>1.7212117642096318</v>
      </c>
      <c r="S77">
        <f>0.15</f>
        <v>0.15</v>
      </c>
      <c r="U77" s="229">
        <f>'Ap. tipologi di pila '!$L$109</f>
        <v>10.250708630059968</v>
      </c>
      <c r="V77" s="226"/>
      <c r="W77" s="229">
        <f>'Ap. tipologi di pila '!$L$109</f>
        <v>10.250708630059968</v>
      </c>
      <c r="X77" s="226"/>
      <c r="Y77" s="229">
        <f>'Ap. tipologi di pila '!$L$109</f>
        <v>10.250708630059968</v>
      </c>
      <c r="Z77" s="226"/>
      <c r="AA77" s="226"/>
      <c r="AB77" s="226"/>
      <c r="AC77" s="226"/>
      <c r="AD77" s="226"/>
      <c r="AE77" s="226"/>
      <c r="AG77" s="230" t="s">
        <v>181</v>
      </c>
      <c r="AH77" s="233">
        <f>ABS(AH75-AH76)</f>
        <v>0.18295032783242071</v>
      </c>
      <c r="AI77" s="222"/>
    </row>
    <row r="78" spans="1:35" x14ac:dyDescent="0.3"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O78" s="226"/>
      <c r="P78" s="226"/>
      <c r="Q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G78" s="118"/>
      <c r="AH78" s="118"/>
      <c r="AI78" s="118"/>
    </row>
    <row r="79" spans="1:35" x14ac:dyDescent="0.3">
      <c r="O79" s="227">
        <f>O69+O71+O73+O75+O77</f>
        <v>470.96294247128367</v>
      </c>
      <c r="P79" s="228">
        <f>P69+P71+P73+P75+P77</f>
        <v>5029.7488392511477</v>
      </c>
      <c r="Q79" s="228">
        <f>Q69+Q71+Q73+Q75+Q77</f>
        <v>76332.687258239821</v>
      </c>
      <c r="T79" t="s">
        <v>157</v>
      </c>
      <c r="U79" s="218">
        <f>U71+U73+U75+U77</f>
        <v>84.263635447660732</v>
      </c>
      <c r="V79" s="226"/>
      <c r="W79" s="218">
        <f>W71+W73+W75+W77</f>
        <v>65.489190955834118</v>
      </c>
      <c r="X79" s="226"/>
      <c r="Y79" s="218">
        <f>Y71+Y73+Y75+Y77</f>
        <v>84.263635447660732</v>
      </c>
      <c r="Z79" s="226"/>
      <c r="AA79" s="218">
        <f>AA69+AA71+AA73+AA75</f>
        <v>84.263635447660732</v>
      </c>
      <c r="AB79" s="226"/>
      <c r="AC79" s="218">
        <f>AC69+AC71+AC73+AC75</f>
        <v>53.183766756250542</v>
      </c>
      <c r="AD79" s="226"/>
      <c r="AE79" s="218">
        <f>AE69+AE71+AE73+AE75</f>
        <v>84.263635447660732</v>
      </c>
      <c r="AG79" s="223">
        <f>U79+W79+Y79+AA79+AC79+AE79</f>
        <v>455.7274995027276</v>
      </c>
      <c r="AH79" s="118"/>
      <c r="AI79" s="118"/>
    </row>
    <row r="80" spans="1:35" ht="15" thickBot="1" x14ac:dyDescent="0.35">
      <c r="U80" s="226"/>
      <c r="V80" s="226"/>
      <c r="W80" s="226"/>
      <c r="X80" s="226"/>
      <c r="Y80" s="226"/>
      <c r="Z80" s="226"/>
      <c r="AA80" s="226"/>
      <c r="AB80" s="226"/>
      <c r="AC80" s="226"/>
      <c r="AD80" s="226"/>
      <c r="AE80" s="226"/>
      <c r="AG80" s="225"/>
      <c r="AH80" s="118"/>
      <c r="AI80" s="118"/>
    </row>
    <row r="81" spans="1:35" ht="16.2" thickBot="1" x14ac:dyDescent="0.4">
      <c r="O81" s="220" t="s">
        <v>169</v>
      </c>
      <c r="P81" s="221">
        <f>P79/O79</f>
        <v>10.679712532919361</v>
      </c>
      <c r="T81" t="s">
        <v>172</v>
      </c>
      <c r="U81" s="218">
        <f>U79*U66</f>
        <v>12.639545317149109</v>
      </c>
      <c r="V81" s="226"/>
      <c r="W81" s="226">
        <f t="shared" ref="W81" si="23">W79*W66</f>
        <v>350.36717161371257</v>
      </c>
      <c r="X81" s="226"/>
      <c r="Y81" s="226">
        <f t="shared" ref="Y81" si="24">Y79*Y66</f>
        <v>779.43862789086177</v>
      </c>
      <c r="Z81" s="226"/>
      <c r="AA81" s="226">
        <f t="shared" ref="AA81" si="25">AA79*AA66</f>
        <v>1175.4777144948671</v>
      </c>
      <c r="AB81" s="226"/>
      <c r="AC81" s="226">
        <f t="shared" ref="AC81" si="26">AC79*AC66</f>
        <v>1018.4691333821978</v>
      </c>
      <c r="AD81" s="226"/>
      <c r="AE81" s="226">
        <f t="shared" ref="AE81" si="27">AE79*AE66</f>
        <v>1942.2767970685798</v>
      </c>
      <c r="AG81" s="223">
        <f>U81+W81+Y81+AA81+AC81+AE81</f>
        <v>5278.6689897673677</v>
      </c>
      <c r="AH81" s="223"/>
      <c r="AI81" s="118"/>
    </row>
    <row r="82" spans="1:35" ht="18.600000000000001" thickBot="1" x14ac:dyDescent="0.45">
      <c r="O82" s="230" t="s">
        <v>180</v>
      </c>
      <c r="P82" s="232">
        <f>10.54</f>
        <v>10.54</v>
      </c>
      <c r="U82" s="226"/>
      <c r="V82" s="226"/>
      <c r="W82" s="226"/>
      <c r="X82" s="226"/>
      <c r="Y82" s="226"/>
      <c r="Z82" s="226"/>
      <c r="AA82" s="226"/>
      <c r="AB82" s="226"/>
      <c r="AC82" s="226"/>
      <c r="AD82" s="226"/>
      <c r="AE82" s="226"/>
      <c r="AG82" s="225"/>
      <c r="AH82" s="118"/>
      <c r="AI82" s="118"/>
    </row>
    <row r="83" spans="1:35" ht="16.8" thickBot="1" x14ac:dyDescent="0.35">
      <c r="O83" s="230" t="s">
        <v>181</v>
      </c>
      <c r="P83" s="233">
        <f>ABS(P81-P82)</f>
        <v>0.13971253291936137</v>
      </c>
      <c r="T83" t="s">
        <v>173</v>
      </c>
      <c r="U83" s="218">
        <f>U81*U66</f>
        <v>1.8959317975723662</v>
      </c>
      <c r="V83" s="226"/>
      <c r="W83" s="226">
        <f t="shared" ref="W83" si="28">W81*W66</f>
        <v>1874.4643681333625</v>
      </c>
      <c r="X83" s="226"/>
      <c r="Y83" s="226">
        <f t="shared" ref="Y83" si="29">Y81*Y66</f>
        <v>7209.8073079904716</v>
      </c>
      <c r="Z83" s="226"/>
      <c r="AA83" s="226">
        <f t="shared" ref="AA83" si="30">AA81*AA66</f>
        <v>16397.914117203396</v>
      </c>
      <c r="AB83" s="226"/>
      <c r="AC83" s="226">
        <f t="shared" ref="AC83" si="31">AC81*AC66</f>
        <v>19503.683904269088</v>
      </c>
      <c r="AD83" s="226"/>
      <c r="AE83" s="226">
        <f t="shared" ref="AE83" si="32">AE81*AE66</f>
        <v>44769.480172430754</v>
      </c>
      <c r="AG83" s="223">
        <f>U83+W83+Y83+AA83+AC83+AE83</f>
        <v>89757.24580182464</v>
      </c>
      <c r="AH83" s="118"/>
      <c r="AI83" s="118"/>
    </row>
    <row r="85" spans="1:35" ht="18" x14ac:dyDescent="0.35">
      <c r="A85" s="410" t="s">
        <v>187</v>
      </c>
      <c r="B85" s="410"/>
      <c r="C85" s="410"/>
      <c r="D85" s="410"/>
      <c r="E85" s="410"/>
      <c r="F85" s="410"/>
      <c r="G85" s="410"/>
      <c r="H85" s="410"/>
      <c r="I85" s="410"/>
      <c r="J85" s="410"/>
      <c r="K85" s="410"/>
      <c r="L85" s="410"/>
      <c r="M85" s="410"/>
      <c r="N85" s="410"/>
      <c r="O85" s="410"/>
      <c r="P85" s="410"/>
      <c r="Q85" s="410"/>
      <c r="S85" s="410" t="s">
        <v>189</v>
      </c>
      <c r="T85" s="410"/>
      <c r="U85" s="410"/>
      <c r="V85" s="410"/>
      <c r="W85" s="410"/>
      <c r="X85" s="410"/>
      <c r="Y85" s="410"/>
      <c r="Z85" s="410"/>
      <c r="AA85" s="410"/>
      <c r="AB85" s="410"/>
      <c r="AC85" s="410"/>
      <c r="AD85" s="410"/>
      <c r="AE85" s="410"/>
      <c r="AF85" s="410"/>
      <c r="AG85" s="410"/>
      <c r="AH85" s="410"/>
      <c r="AI85" s="410"/>
    </row>
    <row r="86" spans="1:35" x14ac:dyDescent="0.3">
      <c r="AG86" s="118"/>
      <c r="AH86" s="118"/>
      <c r="AI86" s="118"/>
    </row>
    <row r="87" spans="1:35" ht="16.2" x14ac:dyDescent="0.3">
      <c r="B87" s="226" t="s">
        <v>176</v>
      </c>
      <c r="C87">
        <v>0.15</v>
      </c>
      <c r="E87">
        <f>C87+5.2</f>
        <v>5.3500000000000005</v>
      </c>
      <c r="G87">
        <f>E87+3.9</f>
        <v>9.25</v>
      </c>
      <c r="I87">
        <f>G87+4.7</f>
        <v>13.95</v>
      </c>
      <c r="K87">
        <f>I87+5.2</f>
        <v>19.149999999999999</v>
      </c>
      <c r="M87" s="23">
        <f>K87+3.9</f>
        <v>23.049999999999997</v>
      </c>
      <c r="O87" s="226" t="s">
        <v>157</v>
      </c>
      <c r="P87" s="226" t="s">
        <v>167</v>
      </c>
      <c r="Q87" s="226" t="s">
        <v>168</v>
      </c>
      <c r="T87" s="226" t="s">
        <v>176</v>
      </c>
      <c r="U87">
        <v>0.15</v>
      </c>
      <c r="W87">
        <f>U87+5.2</f>
        <v>5.3500000000000005</v>
      </c>
      <c r="Y87">
        <f>W87+3.9</f>
        <v>9.25</v>
      </c>
      <c r="AA87">
        <f>Y87+4.7</f>
        <v>13.95</v>
      </c>
      <c r="AC87">
        <f>AA87+5.2</f>
        <v>19.149999999999999</v>
      </c>
      <c r="AE87" s="23">
        <f>AC87+3.9</f>
        <v>23.049999999999997</v>
      </c>
      <c r="AG87" s="118"/>
      <c r="AH87" s="118"/>
      <c r="AI87" s="118"/>
    </row>
    <row r="88" spans="1:35" x14ac:dyDescent="0.3">
      <c r="AG88" s="118"/>
      <c r="AH88" s="118"/>
      <c r="AI88" s="118"/>
    </row>
    <row r="89" spans="1:35" ht="15" thickBot="1" x14ac:dyDescent="0.35">
      <c r="A89" s="4" t="s">
        <v>175</v>
      </c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S89" s="226" t="s">
        <v>175</v>
      </c>
      <c r="U89" s="226"/>
      <c r="V89" s="226"/>
      <c r="W89" s="226"/>
      <c r="X89" s="226"/>
      <c r="Y89" s="226"/>
      <c r="Z89" s="226"/>
      <c r="AA89" s="226"/>
      <c r="AB89" s="226"/>
      <c r="AC89" s="226"/>
      <c r="AD89" s="226"/>
      <c r="AE89" s="226"/>
      <c r="AG89" s="118"/>
      <c r="AH89" s="118"/>
      <c r="AI89" s="118"/>
    </row>
    <row r="90" spans="1:35" ht="15" thickBot="1" x14ac:dyDescent="0.35">
      <c r="A90" s="218">
        <f>A92+5.15</f>
        <v>20.799999999999997</v>
      </c>
      <c r="B90" s="23"/>
      <c r="C90" s="226"/>
      <c r="D90" s="226"/>
      <c r="E90" s="226"/>
      <c r="F90" s="226"/>
      <c r="G90" s="226"/>
      <c r="H90" s="226"/>
      <c r="I90" s="229">
        <f>'Ap. tipologi di pila '!$H$63</f>
        <v>16.07547883064516</v>
      </c>
      <c r="J90" s="226"/>
      <c r="K90" s="229">
        <f>'Ap. tipologi di pila '!$H$49</f>
        <v>25.555889423076916</v>
      </c>
      <c r="L90" s="226"/>
      <c r="M90" s="229">
        <f>'Ap. tipologi di pila '!$H$63</f>
        <v>16.07547883064516</v>
      </c>
      <c r="O90" s="218">
        <f>I90+K90+M90</f>
        <v>57.706847084367233</v>
      </c>
      <c r="P90" s="226">
        <f>O90*A90</f>
        <v>1200.3024193548383</v>
      </c>
      <c r="Q90" s="218">
        <f>P90*A90</f>
        <v>24966.290322580633</v>
      </c>
      <c r="S90" s="23">
        <f>S92+5.15</f>
        <v>20.799999999999997</v>
      </c>
      <c r="T90" s="23"/>
      <c r="U90" s="226"/>
      <c r="V90" s="226"/>
      <c r="W90" s="226"/>
      <c r="X90" s="226"/>
      <c r="Y90" s="226"/>
      <c r="Z90" s="226"/>
      <c r="AA90" s="229">
        <f>'Ap. tipologi di pila '!$L$66</f>
        <v>8.5920662715517224</v>
      </c>
      <c r="AB90" s="226"/>
      <c r="AC90" s="229">
        <f>'Ap. tipologi di pila '!$L$66</f>
        <v>8.5920662715517224</v>
      </c>
      <c r="AD90" s="226"/>
      <c r="AE90" s="229">
        <f>'Ap. tipologi di pila '!$L$66</f>
        <v>8.5920662715517224</v>
      </c>
      <c r="AG90" s="222"/>
      <c r="AH90" s="118"/>
      <c r="AI90" s="222"/>
    </row>
    <row r="91" spans="1:35" ht="15" thickBot="1" x14ac:dyDescent="0.35">
      <c r="A91" s="226"/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O91" s="226"/>
      <c r="P91" s="226"/>
      <c r="Q91" s="218"/>
      <c r="U91" s="226"/>
      <c r="V91" s="226"/>
      <c r="W91" s="226"/>
      <c r="X91" s="226"/>
      <c r="Y91" s="226"/>
      <c r="Z91" s="226"/>
      <c r="AA91" s="226"/>
      <c r="AB91" s="226"/>
      <c r="AC91" s="226"/>
      <c r="AD91" s="226"/>
      <c r="AE91" s="226"/>
      <c r="AG91" s="118"/>
      <c r="AH91" s="118"/>
      <c r="AI91" s="222"/>
    </row>
    <row r="92" spans="1:35" ht="15" thickBot="1" x14ac:dyDescent="0.35">
      <c r="A92" s="226">
        <f>A94+4.7</f>
        <v>15.649999999999999</v>
      </c>
      <c r="C92" s="229">
        <f>'Ap. tipologi di pila '!$H$63</f>
        <v>16.07547883064516</v>
      </c>
      <c r="D92" s="226"/>
      <c r="E92" s="229">
        <f>'Ap. tipologi di pila '!$H$49</f>
        <v>25.555889423076916</v>
      </c>
      <c r="F92" s="226"/>
      <c r="G92" s="229">
        <f>'Ap. tipologi di pila '!$H$49</f>
        <v>25.555889423076916</v>
      </c>
      <c r="H92" s="226"/>
      <c r="I92" s="229">
        <f>'Ap. tipologi di pila '!$H$82</f>
        <v>9.7797985294910479</v>
      </c>
      <c r="J92" s="226"/>
      <c r="K92" s="229">
        <f>'Ap. tipologi di pila '!H82</f>
        <v>9.7797985294910479</v>
      </c>
      <c r="L92" s="226"/>
      <c r="M92" s="229">
        <f>'Ap. tipologi di pila '!$H$66</f>
        <v>9.0607244318181799</v>
      </c>
      <c r="O92" s="218">
        <f>C92+E92+G92+I92+K92+M92</f>
        <v>95.807579167599272</v>
      </c>
      <c r="P92" s="226">
        <f>O92*A92</f>
        <v>1499.3886139729284</v>
      </c>
      <c r="Q92" s="218">
        <f>P92*A92</f>
        <v>23465.431808676327</v>
      </c>
      <c r="S92">
        <f>S94+4.7</f>
        <v>15.649999999999999</v>
      </c>
      <c r="U92" s="229">
        <f>'Ap. tipologi di pila '!$L$66</f>
        <v>8.5920662715517224</v>
      </c>
      <c r="V92" s="226"/>
      <c r="W92" s="229">
        <f>'Ap. tipologi di pila '!$L$66</f>
        <v>8.5920662715517224</v>
      </c>
      <c r="X92" s="226"/>
      <c r="Y92" s="229">
        <f>'Ap. tipologi di pila '!$L$66</f>
        <v>8.5920662715517224</v>
      </c>
      <c r="Z92" s="226"/>
      <c r="AA92" s="229">
        <f>'Ap. tipologi di pila '!$L$49</f>
        <v>23.730468749999993</v>
      </c>
      <c r="AB92" s="226"/>
      <c r="AC92" s="229">
        <f>'Ap. tipologi di pila '!L77</f>
        <v>16.93387818567961</v>
      </c>
      <c r="AD92" s="226"/>
      <c r="AE92" s="229">
        <f>'Ap. tipologi di pila '!$L$49</f>
        <v>23.730468749999993</v>
      </c>
      <c r="AG92" s="222"/>
      <c r="AH92" s="118"/>
      <c r="AI92" s="222"/>
    </row>
    <row r="93" spans="1:35" ht="15" thickBot="1" x14ac:dyDescent="0.35">
      <c r="A93" s="226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O93" s="226"/>
      <c r="P93" s="226"/>
      <c r="Q93" s="218"/>
      <c r="U93" s="226"/>
      <c r="V93" s="226"/>
      <c r="W93" s="226"/>
      <c r="X93" s="226"/>
      <c r="Y93" s="226"/>
      <c r="Z93" s="226"/>
      <c r="AA93" s="226"/>
      <c r="AB93" s="226"/>
      <c r="AC93" s="226"/>
      <c r="AD93" s="226"/>
      <c r="AE93" s="226"/>
      <c r="AG93" s="118"/>
      <c r="AH93" s="118"/>
      <c r="AI93" s="222"/>
    </row>
    <row r="94" spans="1:35" ht="15" thickBot="1" x14ac:dyDescent="0.35">
      <c r="A94" s="226">
        <f>A96+5.6</f>
        <v>10.95</v>
      </c>
      <c r="C94" s="229">
        <f>'Ap. tipologi di pila '!$H$73</f>
        <v>3.5643439874832357</v>
      </c>
      <c r="D94" s="226"/>
      <c r="E94" s="229">
        <f>'Ap. tipologi di pila '!H59</f>
        <v>5.8009730811204063</v>
      </c>
      <c r="F94" s="226"/>
      <c r="G94" s="229">
        <f>'Ap. tipologi di pila '!$H$82</f>
        <v>9.7797985294910479</v>
      </c>
      <c r="H94" s="226"/>
      <c r="I94" s="229">
        <f>'Ap. tipologi di pila '!H52</f>
        <v>11.456088362068963</v>
      </c>
      <c r="J94" s="226"/>
      <c r="K94" s="229">
        <f>'Ap. tipologi di pila '!H49</f>
        <v>25.555889423076916</v>
      </c>
      <c r="L94" s="226"/>
      <c r="M94" s="229">
        <f>'Ap. tipologi di pila '!$H$66</f>
        <v>9.0607244318181799</v>
      </c>
      <c r="O94" s="218">
        <f>C94+E94+G94+I94+K94+M94</f>
        <v>65.217817815058737</v>
      </c>
      <c r="P94" s="226">
        <f>O94*A94</f>
        <v>714.13510507489309</v>
      </c>
      <c r="Q94" s="218">
        <f>P94*A94</f>
        <v>7819.7794005700789</v>
      </c>
      <c r="S94">
        <f>S96+5.6</f>
        <v>10.95</v>
      </c>
      <c r="U94" s="229">
        <f>'Ap. tipologi di pila '!$L$49</f>
        <v>23.730468749999993</v>
      </c>
      <c r="V94" s="226"/>
      <c r="W94" s="229">
        <f>'Ap. tipologi di pila '!$L$49</f>
        <v>23.730468749999993</v>
      </c>
      <c r="X94" s="226"/>
      <c r="Y94" s="229">
        <f>'Ap. tipologi di pila '!$L$49</f>
        <v>23.730468749999993</v>
      </c>
      <c r="Z94" s="226"/>
      <c r="AA94" s="229">
        <f>'Ap. tipologi di pila '!$L$49</f>
        <v>23.730468749999993</v>
      </c>
      <c r="AB94" s="226"/>
      <c r="AC94" s="229">
        <f>'Ap. tipologi di pila '!L82</f>
        <v>9.327216326871655</v>
      </c>
      <c r="AD94" s="226"/>
      <c r="AE94" s="229">
        <f>'Ap. tipologi di pila '!$L$49</f>
        <v>23.730468749999993</v>
      </c>
      <c r="AG94" s="222"/>
      <c r="AH94" s="118"/>
      <c r="AI94" s="222"/>
    </row>
    <row r="95" spans="1:35" ht="15" thickBot="1" x14ac:dyDescent="0.35">
      <c r="A95" s="226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6"/>
      <c r="O95" s="226"/>
      <c r="P95" s="226"/>
      <c r="Q95" s="218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G95" s="118"/>
      <c r="AI95" s="222"/>
    </row>
    <row r="96" spans="1:35" ht="16.2" thickBot="1" x14ac:dyDescent="0.4">
      <c r="A96" s="226">
        <f>A98+5.2</f>
        <v>5.3500000000000005</v>
      </c>
      <c r="C96" s="229">
        <f>'Ap. tipologi di pila '!$H$73</f>
        <v>3.5643439874832357</v>
      </c>
      <c r="D96" s="226"/>
      <c r="E96" s="229">
        <f>'Ap. tipologi di pila '!H56</f>
        <v>8.0499116607773846</v>
      </c>
      <c r="F96" s="226"/>
      <c r="G96" s="229">
        <f>'Ap. tipologi di pila '!$H$82</f>
        <v>9.7797985294910479</v>
      </c>
      <c r="H96" s="226"/>
      <c r="I96" s="229">
        <f>'Ap. tipologi di pila '!$H$49</f>
        <v>25.555889423076916</v>
      </c>
      <c r="J96" s="226"/>
      <c r="K96" s="229">
        <f>'Ap. tipologi di pila '!$H$49</f>
        <v>25.555889423076916</v>
      </c>
      <c r="L96" s="226"/>
      <c r="M96" s="229">
        <f>'Ap. tipologi di pila '!$H$63</f>
        <v>16.07547883064516</v>
      </c>
      <c r="O96" s="218">
        <f>C96+E96+G96+I96+K96+M96</f>
        <v>88.581311854550677</v>
      </c>
      <c r="P96" s="226">
        <f>O96*A96</f>
        <v>473.91001842184619</v>
      </c>
      <c r="Q96" s="218">
        <f>P96*A96</f>
        <v>2535.4185985568774</v>
      </c>
      <c r="S96">
        <f>S98+5.2</f>
        <v>5.3500000000000005</v>
      </c>
      <c r="U96" s="229">
        <f>'Ap. tipologi di pila '!$L$49</f>
        <v>23.730468749999993</v>
      </c>
      <c r="V96" s="226"/>
      <c r="W96" s="229">
        <f>'Ap. tipologi di pila '!L52</f>
        <v>11.074218749999998</v>
      </c>
      <c r="X96" s="226"/>
      <c r="Y96" s="229">
        <f>'Ap. tipologi di pila '!$L$49</f>
        <v>23.730468749999993</v>
      </c>
      <c r="Z96" s="226"/>
      <c r="AA96" s="229">
        <f>'Ap. tipologi di pila '!$L$66</f>
        <v>8.5920662715517224</v>
      </c>
      <c r="AB96" s="226"/>
      <c r="AC96" s="229">
        <f>'Ap. tipologi di pila '!$L$66</f>
        <v>8.5920662715517224</v>
      </c>
      <c r="AD96" s="226"/>
      <c r="AE96" s="229">
        <f>'Ap. tipologi di pila '!$L$66</f>
        <v>8.5920662715517224</v>
      </c>
      <c r="AG96" s="220" t="s">
        <v>174</v>
      </c>
      <c r="AH96" s="221">
        <f>AG102/AG100</f>
        <v>11.60870399518728</v>
      </c>
      <c r="AI96" s="222"/>
    </row>
    <row r="97" spans="1:35" ht="18.600000000000001" thickBot="1" x14ac:dyDescent="0.45">
      <c r="A97" s="226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O97" s="226"/>
      <c r="P97" s="226"/>
      <c r="Q97" s="218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G97" s="230" t="s">
        <v>182</v>
      </c>
      <c r="AH97" s="231">
        <f>11.4</f>
        <v>11.4</v>
      </c>
      <c r="AI97" s="222"/>
    </row>
    <row r="98" spans="1:35" ht="16.2" thickBot="1" x14ac:dyDescent="0.35">
      <c r="A98" s="226">
        <f>0.15</f>
        <v>0.15</v>
      </c>
      <c r="C98" s="229">
        <f>'Ap. tipologi di pila '!$H$63</f>
        <v>16.07547883064516</v>
      </c>
      <c r="D98" s="226"/>
      <c r="E98" s="229">
        <f>'Ap. tipologi di pila '!$H$49</f>
        <v>25.555889423076916</v>
      </c>
      <c r="F98" s="226"/>
      <c r="G98" s="229">
        <f>'Ap. tipologi di pila '!$H$63</f>
        <v>16.07547883064516</v>
      </c>
      <c r="H98" s="226"/>
      <c r="I98" s="226"/>
      <c r="J98" s="226"/>
      <c r="K98" s="226"/>
      <c r="L98" s="226"/>
      <c r="M98" s="226"/>
      <c r="O98" s="218">
        <f>C98+E98+G98</f>
        <v>57.706847084367233</v>
      </c>
      <c r="P98" s="226">
        <f>O98*A98</f>
        <v>8.6560270626550846</v>
      </c>
      <c r="Q98" s="218">
        <f>P98*A98</f>
        <v>1.2984040593982626</v>
      </c>
      <c r="S98">
        <f>0.15</f>
        <v>0.15</v>
      </c>
      <c r="U98" s="229">
        <f>'Ap. tipologi di pila '!$L$66</f>
        <v>8.5920662715517224</v>
      </c>
      <c r="V98" s="226"/>
      <c r="W98" s="229">
        <f>'Ap. tipologi di pila '!$L$66</f>
        <v>8.5920662715517224</v>
      </c>
      <c r="X98" s="226"/>
      <c r="Y98" s="229">
        <f>'Ap. tipologi di pila '!$L$66</f>
        <v>8.5920662715517224</v>
      </c>
      <c r="Z98" s="226"/>
      <c r="AA98" s="226"/>
      <c r="AB98" s="226"/>
      <c r="AC98" s="226"/>
      <c r="AD98" s="226"/>
      <c r="AE98" s="226"/>
      <c r="AG98" s="230" t="s">
        <v>181</v>
      </c>
      <c r="AH98" s="233">
        <f>ABS(AH96-AH97)</f>
        <v>0.20870399518728</v>
      </c>
      <c r="AI98" s="222"/>
    </row>
    <row r="99" spans="1:35" x14ac:dyDescent="0.3">
      <c r="C99" s="226"/>
      <c r="D99" s="226"/>
      <c r="E99" s="226"/>
      <c r="F99" s="226"/>
      <c r="G99" s="226"/>
      <c r="H99" s="226"/>
      <c r="I99" s="226"/>
      <c r="J99" s="226"/>
      <c r="K99" s="226"/>
      <c r="L99" s="226"/>
      <c r="M99" s="226"/>
      <c r="O99" s="226"/>
      <c r="P99" s="226"/>
      <c r="Q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G99" s="118"/>
      <c r="AH99" s="118"/>
      <c r="AI99" s="118"/>
    </row>
    <row r="100" spans="1:35" x14ac:dyDescent="0.3">
      <c r="O100" s="227">
        <f>O90+O92+O94+O96+O98</f>
        <v>365.02040300594314</v>
      </c>
      <c r="P100" s="228">
        <f>P90+P92+P94+P96+P98</f>
        <v>3896.3921838871611</v>
      </c>
      <c r="Q100" s="228">
        <f>Q90+Q92+Q94+Q96+Q98</f>
        <v>58788.218534443309</v>
      </c>
      <c r="T100" t="s">
        <v>157</v>
      </c>
      <c r="U100" s="218">
        <f>U92+U94+U96+U98</f>
        <v>64.645070043103431</v>
      </c>
      <c r="V100" s="226"/>
      <c r="W100" s="218">
        <f>W92+W94+W96+W98</f>
        <v>51.988820043103438</v>
      </c>
      <c r="X100" s="226"/>
      <c r="Y100" s="218">
        <f>Y92+Y94+Y96+Y98</f>
        <v>64.645070043103431</v>
      </c>
      <c r="Z100" s="226"/>
      <c r="AA100" s="218">
        <f>AA90+AA92+AA94+AA96</f>
        <v>64.645070043103431</v>
      </c>
      <c r="AB100" s="226"/>
      <c r="AC100" s="218">
        <f>AC90+AC92+AC94+AC96</f>
        <v>43.445227055654712</v>
      </c>
      <c r="AD100" s="226"/>
      <c r="AE100" s="218">
        <f>AE90+AE92+AE94+AE96</f>
        <v>64.645070043103431</v>
      </c>
      <c r="AG100" s="223">
        <f>U100+W100+Y100+AA100+AC100+AE100</f>
        <v>354.01432727117185</v>
      </c>
      <c r="AH100" s="118"/>
      <c r="AI100" s="118"/>
    </row>
    <row r="101" spans="1:35" ht="15" thickBot="1" x14ac:dyDescent="0.35"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G101" s="225"/>
      <c r="AH101" s="118"/>
      <c r="AI101" s="118"/>
    </row>
    <row r="102" spans="1:35" ht="16.2" thickBot="1" x14ac:dyDescent="0.4">
      <c r="O102" s="220" t="s">
        <v>169</v>
      </c>
      <c r="P102" s="221">
        <f>P100/O100</f>
        <v>10.674450391814732</v>
      </c>
      <c r="T102" t="s">
        <v>172</v>
      </c>
      <c r="U102" s="218">
        <f>U100*U87</f>
        <v>9.6967605064655142</v>
      </c>
      <c r="V102" s="226"/>
      <c r="W102" s="226">
        <f t="shared" ref="W102" si="33">W100*W87</f>
        <v>278.14018723060343</v>
      </c>
      <c r="X102" s="226"/>
      <c r="Y102" s="226">
        <f t="shared" ref="Y102" si="34">Y100*Y87</f>
        <v>597.96689789870675</v>
      </c>
      <c r="Z102" s="226"/>
      <c r="AA102" s="226">
        <f t="shared" ref="AA102" si="35">AA100*AA87</f>
        <v>901.7987271012928</v>
      </c>
      <c r="AB102" s="226"/>
      <c r="AC102" s="226">
        <f t="shared" ref="AC102" si="36">AC100*AC87</f>
        <v>831.97609811578764</v>
      </c>
      <c r="AD102" s="226"/>
      <c r="AE102" s="226">
        <f t="shared" ref="AE102" si="37">AE100*AE87</f>
        <v>1490.068864493534</v>
      </c>
      <c r="AG102" s="223">
        <f>U102+W102+Y102+AA102+AC102+AE102</f>
        <v>4109.6475353463902</v>
      </c>
      <c r="AH102" s="223"/>
      <c r="AI102" s="118"/>
    </row>
    <row r="103" spans="1:35" ht="18.600000000000001" thickBot="1" x14ac:dyDescent="0.45">
      <c r="O103" s="230" t="s">
        <v>180</v>
      </c>
      <c r="P103" s="232">
        <f>10.54</f>
        <v>10.54</v>
      </c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G103" s="225"/>
      <c r="AH103" s="118"/>
      <c r="AI103" s="118"/>
    </row>
    <row r="104" spans="1:35" ht="16.8" thickBot="1" x14ac:dyDescent="0.35">
      <c r="O104" s="230" t="s">
        <v>181</v>
      </c>
      <c r="P104" s="233">
        <f>ABS(P102-P103)</f>
        <v>0.13445039181473284</v>
      </c>
      <c r="T104" t="s">
        <v>173</v>
      </c>
      <c r="U104" s="218">
        <f>U102*U87</f>
        <v>1.4545140759698272</v>
      </c>
      <c r="V104" s="226"/>
      <c r="W104" s="226">
        <f t="shared" ref="W104" si="38">W102*W87</f>
        <v>1488.0500016837284</v>
      </c>
      <c r="X104" s="226"/>
      <c r="Y104" s="226">
        <f t="shared" ref="Y104" si="39">Y102*Y87</f>
        <v>5531.1938055630371</v>
      </c>
      <c r="Z104" s="226"/>
      <c r="AA104" s="226">
        <f t="shared" ref="AA104" si="40">AA102*AA87</f>
        <v>12580.092243063034</v>
      </c>
      <c r="AB104" s="226"/>
      <c r="AC104" s="226">
        <f t="shared" ref="AC104" si="41">AC102*AC87</f>
        <v>15932.342278917333</v>
      </c>
      <c r="AD104" s="226"/>
      <c r="AE104" s="226">
        <f t="shared" ref="AE104" si="42">AE102*AE87</f>
        <v>34346.087326575951</v>
      </c>
      <c r="AG104" s="223">
        <f>U104+W104+Y104+AA104+AC104+AE104</f>
        <v>69879.22016987906</v>
      </c>
      <c r="AH104" s="118"/>
      <c r="AI104" s="118"/>
    </row>
    <row r="106" spans="1:35" ht="18" x14ac:dyDescent="0.35">
      <c r="A106" s="410" t="s">
        <v>190</v>
      </c>
      <c r="B106" s="410"/>
      <c r="C106" s="410"/>
      <c r="D106" s="410"/>
      <c r="E106" s="410"/>
      <c r="F106" s="410"/>
      <c r="G106" s="410"/>
      <c r="H106" s="410"/>
      <c r="I106" s="410"/>
      <c r="J106" s="410"/>
      <c r="K106" s="410"/>
      <c r="L106" s="410"/>
      <c r="M106" s="410"/>
      <c r="N106" s="410"/>
      <c r="O106" s="410"/>
      <c r="P106" s="410"/>
      <c r="Q106" s="410"/>
      <c r="S106" s="410" t="s">
        <v>188</v>
      </c>
      <c r="T106" s="410"/>
      <c r="U106" s="410"/>
      <c r="V106" s="410"/>
      <c r="W106" s="410"/>
      <c r="X106" s="410"/>
      <c r="Y106" s="410"/>
      <c r="Z106" s="410"/>
      <c r="AA106" s="410"/>
      <c r="AB106" s="410"/>
      <c r="AC106" s="410"/>
      <c r="AD106" s="410"/>
      <c r="AE106" s="410"/>
      <c r="AF106" s="410"/>
      <c r="AG106" s="410"/>
      <c r="AH106" s="410"/>
      <c r="AI106" s="410"/>
    </row>
    <row r="107" spans="1:35" x14ac:dyDescent="0.3">
      <c r="AG107" s="118"/>
      <c r="AH107" s="118"/>
      <c r="AI107" s="118"/>
    </row>
    <row r="108" spans="1:35" ht="16.2" x14ac:dyDescent="0.3">
      <c r="B108" s="226" t="s">
        <v>176</v>
      </c>
      <c r="C108">
        <v>0.15</v>
      </c>
      <c r="E108">
        <f>C108+5.2</f>
        <v>5.3500000000000005</v>
      </c>
      <c r="G108">
        <f>E108+3.9</f>
        <v>9.25</v>
      </c>
      <c r="I108">
        <f>G108+4.7</f>
        <v>13.95</v>
      </c>
      <c r="K108">
        <f>I108+5.2</f>
        <v>19.149999999999999</v>
      </c>
      <c r="M108" s="23">
        <f>K108+3.9</f>
        <v>23.049999999999997</v>
      </c>
      <c r="O108" s="226" t="s">
        <v>157</v>
      </c>
      <c r="P108" s="226" t="s">
        <v>167</v>
      </c>
      <c r="Q108" s="226" t="s">
        <v>168</v>
      </c>
      <c r="T108" s="226" t="s">
        <v>176</v>
      </c>
      <c r="U108">
        <v>0.15</v>
      </c>
      <c r="W108">
        <f>U108+5.2</f>
        <v>5.3500000000000005</v>
      </c>
      <c r="Y108">
        <f>W108+3.9</f>
        <v>9.25</v>
      </c>
      <c r="AA108">
        <f>Y108+4.7</f>
        <v>13.95</v>
      </c>
      <c r="AC108">
        <f>AA108+5.2</f>
        <v>19.149999999999999</v>
      </c>
      <c r="AE108" s="23">
        <f>AC108+3.9</f>
        <v>23.049999999999997</v>
      </c>
      <c r="AG108" s="118"/>
      <c r="AH108" s="118"/>
      <c r="AI108" s="118"/>
    </row>
    <row r="109" spans="1:35" x14ac:dyDescent="0.3">
      <c r="AG109" s="118"/>
      <c r="AH109" s="118"/>
      <c r="AI109" s="118"/>
    </row>
    <row r="110" spans="1:35" ht="15" thickBot="1" x14ac:dyDescent="0.35">
      <c r="A110" s="4" t="s">
        <v>175</v>
      </c>
      <c r="C110" s="226"/>
      <c r="D110" s="226"/>
      <c r="E110" s="226"/>
      <c r="F110" s="226"/>
      <c r="G110" s="226"/>
      <c r="H110" s="226"/>
      <c r="I110" s="226"/>
      <c r="J110" s="226"/>
      <c r="K110" s="226"/>
      <c r="L110" s="226"/>
      <c r="M110" s="226"/>
      <c r="S110" s="226" t="s">
        <v>175</v>
      </c>
      <c r="U110" s="226"/>
      <c r="V110" s="226"/>
      <c r="W110" s="226"/>
      <c r="X110" s="226"/>
      <c r="Y110" s="226"/>
      <c r="Z110" s="226"/>
      <c r="AA110" s="226"/>
      <c r="AB110" s="226"/>
      <c r="AC110" s="226"/>
      <c r="AD110" s="226"/>
      <c r="AE110" s="226"/>
      <c r="AG110" s="118"/>
      <c r="AH110" s="118"/>
      <c r="AI110" s="118"/>
    </row>
    <row r="111" spans="1:35" ht="15" thickBot="1" x14ac:dyDescent="0.35">
      <c r="A111" s="218">
        <f>A113+5.15</f>
        <v>20.799999999999997</v>
      </c>
      <c r="B111" s="23"/>
      <c r="C111" s="226"/>
      <c r="D111" s="226"/>
      <c r="E111" s="226"/>
      <c r="F111" s="226"/>
      <c r="G111" s="226"/>
      <c r="H111" s="226"/>
      <c r="I111" s="229">
        <f>'Ap. tipologi di pila '!$H$20</f>
        <v>12.657214359189272</v>
      </c>
      <c r="J111" s="226"/>
      <c r="K111" s="229">
        <f>'Ap. tipologi di pila '!$H$6</f>
        <v>21.03942597948155</v>
      </c>
      <c r="L111" s="226"/>
      <c r="M111" s="229">
        <f>'Ap. tipologi di pila '!$H$20</f>
        <v>12.657214359189272</v>
      </c>
      <c r="O111" s="218">
        <f>I111+K111+M111</f>
        <v>46.353854697860086</v>
      </c>
      <c r="P111" s="226">
        <f>O111*A111</f>
        <v>964.16017771548968</v>
      </c>
      <c r="Q111" s="218">
        <f>P111*A111</f>
        <v>20054.531696482183</v>
      </c>
      <c r="S111" s="23">
        <f>S113+5.15</f>
        <v>20.799999999999997</v>
      </c>
      <c r="T111" s="23"/>
      <c r="U111" s="226"/>
      <c r="V111" s="226"/>
      <c r="W111" s="226"/>
      <c r="X111" s="226"/>
      <c r="Y111" s="226"/>
      <c r="Z111" s="226"/>
      <c r="AA111" s="229">
        <f>'Ap. tipologi di pila '!$L$23</f>
        <v>7.3867521011205959</v>
      </c>
      <c r="AB111" s="226"/>
      <c r="AC111" s="229">
        <f>'Ap. tipologi di pila '!$L$23</f>
        <v>7.3867521011205959</v>
      </c>
      <c r="AD111" s="226"/>
      <c r="AE111" s="229">
        <f>'Ap. tipologi di pila '!$L$23</f>
        <v>7.3867521011205959</v>
      </c>
      <c r="AG111" s="222"/>
      <c r="AH111" s="118"/>
      <c r="AI111" s="222"/>
    </row>
    <row r="112" spans="1:35" ht="15" thickBot="1" x14ac:dyDescent="0.35">
      <c r="A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6"/>
      <c r="O112" s="226"/>
      <c r="P112" s="226"/>
      <c r="Q112" s="218"/>
      <c r="U112" s="226"/>
      <c r="V112" s="226"/>
      <c r="W112" s="226"/>
      <c r="X112" s="226"/>
      <c r="Y112" s="226"/>
      <c r="Z112" s="226"/>
      <c r="AA112" s="226"/>
      <c r="AB112" s="226"/>
      <c r="AC112" s="226"/>
      <c r="AD112" s="226"/>
      <c r="AE112" s="226"/>
      <c r="AG112" s="118"/>
      <c r="AH112" s="118"/>
      <c r="AI112" s="222"/>
    </row>
    <row r="113" spans="1:35" ht="15" thickBot="1" x14ac:dyDescent="0.35">
      <c r="A113" s="226">
        <f>A115+4.7</f>
        <v>15.649999999999999</v>
      </c>
      <c r="C113" s="229">
        <f>'Ap. tipologi di pila '!$H$20</f>
        <v>12.657214359189272</v>
      </c>
      <c r="D113" s="226"/>
      <c r="E113" s="229">
        <f>'Ap. tipologi di pila '!$H$6</f>
        <v>21.03942597948155</v>
      </c>
      <c r="F113" s="226"/>
      <c r="G113" s="229">
        <f>'Ap. tipologi di pila '!$H$6</f>
        <v>21.03942597948155</v>
      </c>
      <c r="H113" s="226"/>
      <c r="I113" s="229">
        <f>'Ap. tipologi di pila '!$H$39</f>
        <v>8.8993159196027989</v>
      </c>
      <c r="J113" s="226"/>
      <c r="K113" s="229">
        <f>'Ap. tipologi di pila '!$H$39</f>
        <v>8.8993159196027989</v>
      </c>
      <c r="L113" s="226"/>
      <c r="M113" s="229">
        <f>'Ap. tipologi di pila '!$H$23</f>
        <v>7.863722838950955</v>
      </c>
      <c r="O113" s="218">
        <f>C113+E113+G113+I113+K113+M113</f>
        <v>80.398420996308914</v>
      </c>
      <c r="P113" s="226">
        <f>O113*A113</f>
        <v>1258.2352885922344</v>
      </c>
      <c r="Q113" s="218">
        <f>P113*A113</f>
        <v>19691.382266468467</v>
      </c>
      <c r="S113">
        <f>S115+4.7</f>
        <v>15.649999999999999</v>
      </c>
      <c r="U113" s="229">
        <f>'Ap. tipologi di pila '!$L$23</f>
        <v>7.3867521011205959</v>
      </c>
      <c r="V113" s="226"/>
      <c r="W113" s="229">
        <f>'Ap. tipologi di pila '!$L$23</f>
        <v>7.3867521011205959</v>
      </c>
      <c r="X113" s="226"/>
      <c r="Y113" s="229">
        <f>'Ap. tipologi di pila '!$L$23</f>
        <v>7.3867521011205959</v>
      </c>
      <c r="Z113" s="226"/>
      <c r="AA113" s="229">
        <f>'Ap. tipologi di pila '!$L$6</f>
        <v>19.366541417301409</v>
      </c>
      <c r="AB113" s="226"/>
      <c r="AC113" s="229">
        <f>'Ap. tipologi di pila '!L34</f>
        <v>14.186537041944273</v>
      </c>
      <c r="AD113" s="226"/>
      <c r="AE113" s="229">
        <f>'Ap. tipologi di pila '!$L$6</f>
        <v>19.366541417301409</v>
      </c>
      <c r="AG113" s="222"/>
      <c r="AH113" s="118"/>
      <c r="AI113" s="222"/>
    </row>
    <row r="114" spans="1:35" ht="15" thickBot="1" x14ac:dyDescent="0.35">
      <c r="A114" s="226"/>
      <c r="C114" s="226"/>
      <c r="D114" s="226"/>
      <c r="E114" s="226"/>
      <c r="F114" s="226"/>
      <c r="G114" s="226"/>
      <c r="H114" s="226"/>
      <c r="I114" s="226"/>
      <c r="J114" s="226"/>
      <c r="K114" s="226"/>
      <c r="L114" s="226"/>
      <c r="M114" s="226"/>
      <c r="O114" s="226"/>
      <c r="P114" s="226"/>
      <c r="Q114" s="218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226"/>
      <c r="AG114" s="118"/>
      <c r="AH114" s="118"/>
      <c r="AI114" s="222"/>
    </row>
    <row r="115" spans="1:35" ht="15" thickBot="1" x14ac:dyDescent="0.35">
      <c r="A115" s="226">
        <f>A117+5.6</f>
        <v>10.95</v>
      </c>
      <c r="C115" s="229">
        <f>'Ap. tipologi di pila '!$H$30</f>
        <v>3.5643439874832357</v>
      </c>
      <c r="D115" s="226"/>
      <c r="E115" s="229">
        <f>'Ap. tipologi di pila '!H16</f>
        <v>5.8009730811204063</v>
      </c>
      <c r="F115" s="226"/>
      <c r="G115" s="229">
        <f>'Ap. tipologi di pila '!$H$39</f>
        <v>8.8993159196027989</v>
      </c>
      <c r="H115" s="226"/>
      <c r="I115" s="229">
        <f>'Ap. tipologi di pila '!H9</f>
        <v>10.450443395336157</v>
      </c>
      <c r="J115" s="226"/>
      <c r="K115" s="229">
        <f>'Ap. tipologi di pila '!$H$6</f>
        <v>21.03942597948155</v>
      </c>
      <c r="L115" s="226"/>
      <c r="M115" s="229">
        <f>'Ap. tipologi di pila '!$H$23</f>
        <v>7.863722838950955</v>
      </c>
      <c r="O115" s="218">
        <f>C115+E115+G115+I115+K115+M115</f>
        <v>57.6182252019751</v>
      </c>
      <c r="P115" s="226">
        <f>O115*A115</f>
        <v>630.91956596162731</v>
      </c>
      <c r="Q115" s="218">
        <f>P115*A115</f>
        <v>6908.5692472798182</v>
      </c>
      <c r="S115">
        <f>S117+5.6</f>
        <v>10.95</v>
      </c>
      <c r="U115" s="229">
        <f>'Ap. tipologi di pila '!$L$6</f>
        <v>19.366541417301409</v>
      </c>
      <c r="V115" s="226"/>
      <c r="W115" s="229">
        <f>'Ap. tipologi di pila '!$L$6</f>
        <v>19.366541417301409</v>
      </c>
      <c r="X115" s="226"/>
      <c r="Y115" s="229">
        <f>'Ap. tipologi di pila '!$L$6</f>
        <v>19.366541417301409</v>
      </c>
      <c r="Z115" s="226"/>
      <c r="AA115" s="229">
        <f>'Ap. tipologi di pila '!$L$6</f>
        <v>19.366541417301409</v>
      </c>
      <c r="AB115" s="226"/>
      <c r="AC115" s="229">
        <f>'Ap. tipologi di pila '!L39</f>
        <v>8.428201747481106</v>
      </c>
      <c r="AD115" s="226"/>
      <c r="AE115" s="229">
        <f>'Ap. tipologi di pila '!$L$6</f>
        <v>19.366541417301409</v>
      </c>
      <c r="AG115" s="222"/>
      <c r="AH115" s="118"/>
      <c r="AI115" s="222"/>
    </row>
    <row r="116" spans="1:35" ht="15" thickBot="1" x14ac:dyDescent="0.35">
      <c r="A116" s="226"/>
      <c r="C116" s="226"/>
      <c r="D116" s="226"/>
      <c r="E116" s="226"/>
      <c r="F116" s="226"/>
      <c r="G116" s="226"/>
      <c r="H116" s="226"/>
      <c r="I116" s="226"/>
      <c r="J116" s="226"/>
      <c r="K116" s="226"/>
      <c r="L116" s="226"/>
      <c r="M116" s="226"/>
      <c r="O116" s="226"/>
      <c r="P116" s="226"/>
      <c r="Q116" s="218"/>
      <c r="U116" s="226"/>
      <c r="V116" s="226"/>
      <c r="W116" s="226"/>
      <c r="X116" s="226"/>
      <c r="Y116" s="226"/>
      <c r="Z116" s="226"/>
      <c r="AA116" s="226"/>
      <c r="AB116" s="226"/>
      <c r="AC116" s="226"/>
      <c r="AD116" s="226"/>
      <c r="AE116" s="226"/>
      <c r="AG116" s="118"/>
      <c r="AI116" s="222"/>
    </row>
    <row r="117" spans="1:35" ht="16.2" thickBot="1" x14ac:dyDescent="0.4">
      <c r="A117" s="226">
        <f>A119+5.2</f>
        <v>5.3500000000000005</v>
      </c>
      <c r="C117" s="229">
        <f>'Ap. tipologi di pila '!$H$30</f>
        <v>3.5643439874832357</v>
      </c>
      <c r="D117" s="226"/>
      <c r="E117" s="229">
        <f>'Ap. tipologi di pila '!H13</f>
        <v>8.0499116607773846</v>
      </c>
      <c r="F117" s="226"/>
      <c r="G117" s="229">
        <f>'Ap. tipologi di pila '!$H$39</f>
        <v>8.8993159196027989</v>
      </c>
      <c r="H117" s="226"/>
      <c r="I117" s="229">
        <f>'Ap. tipologi di pila '!$H$6</f>
        <v>21.03942597948155</v>
      </c>
      <c r="J117" s="226"/>
      <c r="K117" s="229">
        <f>'Ap. tipologi di pila '!$H$6</f>
        <v>21.03942597948155</v>
      </c>
      <c r="L117" s="226"/>
      <c r="M117" s="229">
        <f>'Ap. tipologi di pila '!$H$20</f>
        <v>12.657214359189272</v>
      </c>
      <c r="O117" s="218">
        <f>C117+E117+G117+I117+K117+M117</f>
        <v>75.24963788601579</v>
      </c>
      <c r="P117" s="226">
        <f>O117*A117</f>
        <v>402.58556269018453</v>
      </c>
      <c r="Q117" s="218">
        <f>P117*A117</f>
        <v>2153.8327603924877</v>
      </c>
      <c r="S117">
        <f>S119+5.2</f>
        <v>5.3500000000000005</v>
      </c>
      <c r="U117" s="229">
        <f>'Ap. tipologi di pila '!$L$6</f>
        <v>19.366541417301409</v>
      </c>
      <c r="V117" s="226"/>
      <c r="W117" s="229">
        <f>'Ap. tipologi di pila '!L9</f>
        <v>10.020506791401912</v>
      </c>
      <c r="X117" s="226"/>
      <c r="Y117" s="229">
        <f>'Ap. tipologi di pila '!$L$6</f>
        <v>19.366541417301409</v>
      </c>
      <c r="Z117" s="226"/>
      <c r="AA117" s="229">
        <f>'Ap. tipologi di pila '!$L$23</f>
        <v>7.3867521011205959</v>
      </c>
      <c r="AB117" s="226"/>
      <c r="AC117" s="229">
        <f>'Ap. tipologi di pila '!$L$23</f>
        <v>7.3867521011205959</v>
      </c>
      <c r="AD117" s="226"/>
      <c r="AE117" s="229">
        <f>'Ap. tipologi di pila '!$L$23</f>
        <v>7.3867521011205959</v>
      </c>
      <c r="AG117" s="220" t="s">
        <v>174</v>
      </c>
      <c r="AH117" s="221">
        <f>AG123/AG121</f>
        <v>11.621239208220558</v>
      </c>
      <c r="AI117" s="222"/>
    </row>
    <row r="118" spans="1:35" ht="18.600000000000001" thickBot="1" x14ac:dyDescent="0.45">
      <c r="A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6"/>
      <c r="O118" s="226"/>
      <c r="P118" s="226"/>
      <c r="Q118" s="218"/>
      <c r="U118" s="226"/>
      <c r="V118" s="226"/>
      <c r="W118" s="226"/>
      <c r="X118" s="226"/>
      <c r="Y118" s="226"/>
      <c r="Z118" s="226"/>
      <c r="AA118" s="226"/>
      <c r="AB118" s="226"/>
      <c r="AC118" s="226"/>
      <c r="AD118" s="226"/>
      <c r="AE118" s="226"/>
      <c r="AG118" s="230" t="s">
        <v>182</v>
      </c>
      <c r="AH118" s="231">
        <f>11.6</f>
        <v>11.6</v>
      </c>
      <c r="AI118" s="222"/>
    </row>
    <row r="119" spans="1:35" ht="16.2" thickBot="1" x14ac:dyDescent="0.35">
      <c r="A119" s="226">
        <f>0.15</f>
        <v>0.15</v>
      </c>
      <c r="C119" s="229">
        <f>'Ap. tipologi di pila '!$H$20</f>
        <v>12.657214359189272</v>
      </c>
      <c r="D119" s="226"/>
      <c r="E119" s="229">
        <f>'Ap. tipologi di pila '!$H$6</f>
        <v>21.03942597948155</v>
      </c>
      <c r="F119" s="226"/>
      <c r="G119" s="229">
        <f>'Ap. tipologi di pila '!$H$20</f>
        <v>12.657214359189272</v>
      </c>
      <c r="H119" s="226"/>
      <c r="I119" s="226"/>
      <c r="J119" s="226"/>
      <c r="K119" s="226"/>
      <c r="L119" s="226"/>
      <c r="M119" s="226"/>
      <c r="O119" s="218">
        <f>C119+E119+G119</f>
        <v>46.353854697860086</v>
      </c>
      <c r="P119" s="226">
        <f>O119*A119</f>
        <v>6.9530782046790129</v>
      </c>
      <c r="Q119" s="218">
        <f>P119*A119</f>
        <v>1.0429617307018519</v>
      </c>
      <c r="S119">
        <f>0.15</f>
        <v>0.15</v>
      </c>
      <c r="U119" s="229">
        <f>'Ap. tipologi di pila '!$L$23</f>
        <v>7.3867521011205959</v>
      </c>
      <c r="V119" s="226"/>
      <c r="W119" s="229">
        <f>'Ap. tipologi di pila '!$L$23</f>
        <v>7.3867521011205959</v>
      </c>
      <c r="X119" s="226"/>
      <c r="Y119" s="229">
        <f>'Ap. tipologi di pila '!$L$23</f>
        <v>7.3867521011205959</v>
      </c>
      <c r="Z119" s="226"/>
      <c r="AA119" s="226"/>
      <c r="AB119" s="226"/>
      <c r="AC119" s="226"/>
      <c r="AD119" s="226"/>
      <c r="AE119" s="226"/>
      <c r="AG119" s="230" t="s">
        <v>181</v>
      </c>
      <c r="AH119" s="233">
        <f>ABS(AH117-AH118)</f>
        <v>2.1239208220558581E-2</v>
      </c>
      <c r="AI119" s="222"/>
    </row>
    <row r="120" spans="1:35" x14ac:dyDescent="0.3"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O120" s="226"/>
      <c r="P120" s="226"/>
      <c r="Q120" s="226"/>
      <c r="U120" s="226"/>
      <c r="V120" s="226"/>
      <c r="W120" s="226"/>
      <c r="X120" s="226"/>
      <c r="Y120" s="226"/>
      <c r="Z120" s="226"/>
      <c r="AA120" s="226"/>
      <c r="AB120" s="226"/>
      <c r="AC120" s="226"/>
      <c r="AD120" s="226"/>
      <c r="AE120" s="226"/>
      <c r="AG120" s="118"/>
      <c r="AH120" s="118"/>
      <c r="AI120" s="118"/>
    </row>
    <row r="121" spans="1:35" x14ac:dyDescent="0.3">
      <c r="O121" s="227">
        <f>O111+O113+O115+O117+O119</f>
        <v>305.97399348001994</v>
      </c>
      <c r="P121" s="228">
        <f>P111+P113+P115+P117+P119</f>
        <v>3262.8536731642143</v>
      </c>
      <c r="Q121" s="228">
        <f>Q111+Q113+Q115+Q117+Q119</f>
        <v>48809.358932353658</v>
      </c>
      <c r="T121" t="s">
        <v>157</v>
      </c>
      <c r="U121" s="218">
        <f>U113+U115+U117+U119</f>
        <v>53.50658703684401</v>
      </c>
      <c r="V121" s="226"/>
      <c r="W121" s="218">
        <f>W113+W115+W117+W119</f>
        <v>44.160552410944518</v>
      </c>
      <c r="X121" s="226"/>
      <c r="Y121" s="218">
        <f>Y113+Y115+Y117+Y119</f>
        <v>53.50658703684401</v>
      </c>
      <c r="Z121" s="226"/>
      <c r="AA121" s="218">
        <f>AA111+AA113+AA115+AA117</f>
        <v>53.50658703684401</v>
      </c>
      <c r="AB121" s="226"/>
      <c r="AC121" s="218">
        <f>AC111+AC113+AC115+AC117</f>
        <v>37.388242991666573</v>
      </c>
      <c r="AD121" s="226"/>
      <c r="AE121" s="218">
        <f>AE111+AE113+AE115+AE117</f>
        <v>53.50658703684401</v>
      </c>
      <c r="AG121" s="223">
        <f>U121+W121+Y121+AA121+AC121+AE121</f>
        <v>295.5751435499871</v>
      </c>
      <c r="AH121" s="118"/>
      <c r="AI121" s="118"/>
    </row>
    <row r="122" spans="1:35" ht="15" thickBot="1" x14ac:dyDescent="0.35">
      <c r="C122" s="23"/>
      <c r="U122" s="226"/>
      <c r="V122" s="226"/>
      <c r="W122" s="226"/>
      <c r="X122" s="226"/>
      <c r="Y122" s="226"/>
      <c r="Z122" s="226"/>
      <c r="AA122" s="226"/>
      <c r="AB122" s="226"/>
      <c r="AC122" s="226"/>
      <c r="AD122" s="226"/>
      <c r="AE122" s="226"/>
      <c r="AG122" s="225"/>
      <c r="AH122" s="118"/>
      <c r="AI122" s="118"/>
    </row>
    <row r="123" spans="1:35" ht="16.2" thickBot="1" x14ac:dyDescent="0.4">
      <c r="O123" s="220" t="s">
        <v>169</v>
      </c>
      <c r="P123" s="221">
        <f>P121/O121</f>
        <v>10.663826804539447</v>
      </c>
      <c r="T123" t="s">
        <v>172</v>
      </c>
      <c r="U123" s="218">
        <f>U121*U108</f>
        <v>8.0259880555266019</v>
      </c>
      <c r="V123" s="226"/>
      <c r="W123" s="226">
        <f t="shared" ref="W123" si="43">W121*W108</f>
        <v>236.25895539855318</v>
      </c>
      <c r="X123" s="226"/>
      <c r="Y123" s="226">
        <f t="shared" ref="Y123" si="44">Y121*Y108</f>
        <v>494.93593009080712</v>
      </c>
      <c r="Z123" s="226"/>
      <c r="AA123" s="226">
        <f t="shared" ref="AA123" si="45">AA121*AA108</f>
        <v>746.41688916397391</v>
      </c>
      <c r="AB123" s="226"/>
      <c r="AC123" s="226">
        <f t="shared" ref="AC123" si="46">AC121*AC108</f>
        <v>715.98485329041478</v>
      </c>
      <c r="AD123" s="226"/>
      <c r="AE123" s="226">
        <f t="shared" ref="AE123" si="47">AE121*AE108</f>
        <v>1233.3268311992542</v>
      </c>
      <c r="AG123" s="223">
        <f>U123+W123+Y123+AA123+AC123+AE123</f>
        <v>3434.9494471985299</v>
      </c>
      <c r="AH123" s="223"/>
      <c r="AI123" s="118"/>
    </row>
    <row r="124" spans="1:35" ht="18.600000000000001" thickBot="1" x14ac:dyDescent="0.45">
      <c r="O124" s="230" t="s">
        <v>180</v>
      </c>
      <c r="P124" s="232">
        <f>10.5</f>
        <v>10.5</v>
      </c>
      <c r="U124" s="226"/>
      <c r="V124" s="226"/>
      <c r="W124" s="226"/>
      <c r="X124" s="226"/>
      <c r="Y124" s="226"/>
      <c r="Z124" s="226"/>
      <c r="AA124" s="226"/>
      <c r="AB124" s="226"/>
      <c r="AC124" s="226"/>
      <c r="AD124" s="226"/>
      <c r="AE124" s="226"/>
      <c r="AG124" s="225"/>
      <c r="AH124" s="118"/>
      <c r="AI124" s="118"/>
    </row>
    <row r="125" spans="1:35" ht="16.8" thickBot="1" x14ac:dyDescent="0.35">
      <c r="O125" s="230" t="s">
        <v>181</v>
      </c>
      <c r="P125" s="233">
        <f>ABS(P123-P124)</f>
        <v>0.16382680453944687</v>
      </c>
      <c r="T125" t="s">
        <v>173</v>
      </c>
      <c r="U125" s="218">
        <f>U123*U108</f>
        <v>1.2038982083289902</v>
      </c>
      <c r="V125" s="226"/>
      <c r="W125" s="226">
        <f t="shared" ref="W125" si="48">W123*W108</f>
        <v>1263.9854113822596</v>
      </c>
      <c r="X125" s="226"/>
      <c r="Y125" s="226">
        <f t="shared" ref="Y125" si="49">Y123*Y108</f>
        <v>4578.157353339966</v>
      </c>
      <c r="Z125" s="226"/>
      <c r="AA125" s="226">
        <f t="shared" ref="AA125" si="50">AA123*AA108</f>
        <v>10412.515603837435</v>
      </c>
      <c r="AB125" s="226"/>
      <c r="AC125" s="226">
        <f t="shared" ref="AC125" si="51">AC123*AC108</f>
        <v>13711.109940511442</v>
      </c>
      <c r="AD125" s="226"/>
      <c r="AE125" s="226">
        <f t="shared" ref="AE125" si="52">AE123*AE108</f>
        <v>28428.183459142805</v>
      </c>
      <c r="AG125" s="223">
        <f>U125+W125+Y125+AA125+AC125+AE125</f>
        <v>58395.155666422237</v>
      </c>
      <c r="AH125" s="118"/>
      <c r="AI125" s="118"/>
    </row>
  </sheetData>
  <mergeCells count="21">
    <mergeCell ref="AQ2:AQ3"/>
    <mergeCell ref="AR2:AR3"/>
    <mergeCell ref="AS2:AS3"/>
    <mergeCell ref="AK2:AK3"/>
    <mergeCell ref="AL2:AL3"/>
    <mergeCell ref="AM2:AM3"/>
    <mergeCell ref="AN2:AN3"/>
    <mergeCell ref="AO2:AO3"/>
    <mergeCell ref="AP2:AP3"/>
    <mergeCell ref="A106:Q106"/>
    <mergeCell ref="S106:AI106"/>
    <mergeCell ref="A64:Q64"/>
    <mergeCell ref="S64:AI64"/>
    <mergeCell ref="A85:Q85"/>
    <mergeCell ref="S85:AI85"/>
    <mergeCell ref="A1:Q1"/>
    <mergeCell ref="S1:AI1"/>
    <mergeCell ref="A22:Q22"/>
    <mergeCell ref="S22:AI22"/>
    <mergeCell ref="A43:Q43"/>
    <mergeCell ref="S43:AI43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Carichi unitari</vt:lpstr>
      <vt:lpstr>Travi</vt:lpstr>
      <vt:lpstr>Pilastri</vt:lpstr>
      <vt:lpstr> Masse e forze</vt:lpstr>
      <vt:lpstr>Car. sol</vt:lpstr>
      <vt:lpstr>Ap. globale</vt:lpstr>
      <vt:lpstr>Ap. tipologi di pila </vt:lpstr>
      <vt:lpstr>Rigidezze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Graziella</dc:creator>
  <cp:lastModifiedBy>Graziella</cp:lastModifiedBy>
  <dcterms:created xsi:type="dcterms:W3CDTF">2016-11-13T08:53:40Z</dcterms:created>
  <dcterms:modified xsi:type="dcterms:W3CDTF">2017-06-26T09:45:15Z</dcterms:modified>
</cp:coreProperties>
</file>